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4539c7831901b19/Área de Trabalho/Gui/JML/OBRA/Escola de Música - Fonseca/Nova pasta/Planilhas e memória/Revisão fechamento quadra/"/>
    </mc:Choice>
  </mc:AlternateContent>
  <xr:revisionPtr revIDLastSave="669" documentId="8_{775F439B-59AF-4991-A7B6-E12164B0A94B}" xr6:coauthVersionLast="47" xr6:coauthVersionMax="47" xr10:uidLastSave="{4111BA30-7054-4084-9581-6D04E19666B2}"/>
  <bookViews>
    <workbookView xWindow="-120" yWindow="-120" windowWidth="20640" windowHeight="11040" activeTab="1" xr2:uid="{FAE88BDC-AF3D-4EEC-BD0B-8A24D71487CE}"/>
  </bookViews>
  <sheets>
    <sheet name="P. Nova" sheetId="3" r:id="rId1"/>
    <sheet name="M. Nova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87" i="4" l="1"/>
  <c r="G635" i="4"/>
  <c r="G625" i="4"/>
  <c r="F1291" i="4"/>
  <c r="F218" i="3" s="1"/>
  <c r="H218" i="3" s="1"/>
  <c r="F1283" i="4"/>
  <c r="F216" i="3" s="1"/>
  <c r="H216" i="3" s="1"/>
  <c r="F1275" i="4"/>
  <c r="F214" i="3" s="1"/>
  <c r="H214" i="3" s="1"/>
  <c r="C1299" i="4"/>
  <c r="D1299" i="4"/>
  <c r="E1299" i="4"/>
  <c r="C1295" i="4"/>
  <c r="D1295" i="4"/>
  <c r="E1295" i="4"/>
  <c r="C1291" i="4"/>
  <c r="D1291" i="4"/>
  <c r="E1291" i="4"/>
  <c r="B1299" i="4"/>
  <c r="B1295" i="4"/>
  <c r="B1291" i="4"/>
  <c r="C1287" i="4"/>
  <c r="D1287" i="4"/>
  <c r="E1287" i="4"/>
  <c r="C1283" i="4"/>
  <c r="D1283" i="4"/>
  <c r="E1283" i="4"/>
  <c r="C1279" i="4"/>
  <c r="D1279" i="4"/>
  <c r="E1279" i="4"/>
  <c r="C1275" i="4"/>
  <c r="D1275" i="4"/>
  <c r="E1275" i="4"/>
  <c r="B1287" i="4"/>
  <c r="B1283" i="4"/>
  <c r="B1279" i="4"/>
  <c r="B1275" i="4"/>
  <c r="C1264" i="4"/>
  <c r="D1264" i="4"/>
  <c r="E1264" i="4"/>
  <c r="B1264" i="4"/>
  <c r="C1260" i="4"/>
  <c r="D1260" i="4"/>
  <c r="E1260" i="4"/>
  <c r="C1255" i="4"/>
  <c r="D1255" i="4"/>
  <c r="E1255" i="4"/>
  <c r="B1260" i="4"/>
  <c r="B1255" i="4"/>
  <c r="C1251" i="4"/>
  <c r="D1251" i="4"/>
  <c r="E1251" i="4"/>
  <c r="B1251" i="4"/>
  <c r="C1247" i="4"/>
  <c r="D1247" i="4"/>
  <c r="E1247" i="4"/>
  <c r="B1247" i="4"/>
  <c r="C1240" i="4"/>
  <c r="D1240" i="4"/>
  <c r="E1240" i="4"/>
  <c r="B1240" i="4"/>
  <c r="C1232" i="4"/>
  <c r="D1232" i="4"/>
  <c r="E1232" i="4"/>
  <c r="B1232" i="4"/>
  <c r="C1224" i="4"/>
  <c r="D1224" i="4"/>
  <c r="E1224" i="4"/>
  <c r="B1224" i="4"/>
  <c r="C1219" i="4"/>
  <c r="D1219" i="4"/>
  <c r="E1219" i="4"/>
  <c r="B1219" i="4"/>
  <c r="C1214" i="4"/>
  <c r="D1214" i="4"/>
  <c r="E1214" i="4"/>
  <c r="B1214" i="4"/>
  <c r="C1209" i="4"/>
  <c r="D1209" i="4"/>
  <c r="E1209" i="4"/>
  <c r="B1209" i="4"/>
  <c r="C1205" i="4"/>
  <c r="D1205" i="4"/>
  <c r="E1205" i="4"/>
  <c r="B1205" i="4"/>
  <c r="C1194" i="4"/>
  <c r="D1194" i="4"/>
  <c r="E1194" i="4"/>
  <c r="B1194" i="4"/>
  <c r="C1188" i="4"/>
  <c r="D1188" i="4"/>
  <c r="E1188" i="4"/>
  <c r="B1188" i="4"/>
  <c r="C1182" i="4"/>
  <c r="D1182" i="4"/>
  <c r="E1182" i="4"/>
  <c r="B1182" i="4"/>
  <c r="C1173" i="4"/>
  <c r="D1173" i="4"/>
  <c r="E1173" i="4"/>
  <c r="B1173" i="4"/>
  <c r="C1162" i="4"/>
  <c r="D1162" i="4"/>
  <c r="E1162" i="4"/>
  <c r="B1162" i="4"/>
  <c r="E1297" i="4"/>
  <c r="F1295" i="4" s="1"/>
  <c r="F219" i="3" s="1"/>
  <c r="H219" i="3" s="1"/>
  <c r="E1289" i="4"/>
  <c r="F1287" i="4" s="1"/>
  <c r="F217" i="3" s="1"/>
  <c r="H217" i="3" s="1"/>
  <c r="E1281" i="4"/>
  <c r="F1279" i="4" s="1"/>
  <c r="F215" i="3" s="1"/>
  <c r="H215" i="3" s="1"/>
  <c r="K1272" i="4"/>
  <c r="C1270" i="4"/>
  <c r="K1270" i="4" s="1"/>
  <c r="C1269" i="4"/>
  <c r="K1269" i="4" s="1"/>
  <c r="K1267" i="4"/>
  <c r="D1244" i="4"/>
  <c r="H1244" i="4" s="1"/>
  <c r="D1243" i="4"/>
  <c r="H1243" i="4" s="1"/>
  <c r="H1229" i="4"/>
  <c r="H1228" i="4"/>
  <c r="H1227" i="4"/>
  <c r="G1222" i="4"/>
  <c r="F1219" i="4" s="1"/>
  <c r="F205" i="3" s="1"/>
  <c r="H205" i="3" s="1"/>
  <c r="J1202" i="4"/>
  <c r="D1217" i="4" s="1"/>
  <c r="F1214" i="4" s="1"/>
  <c r="F204" i="3" s="1"/>
  <c r="H204" i="3" s="1"/>
  <c r="D1200" i="4"/>
  <c r="J1200" i="4" s="1"/>
  <c r="D1199" i="4"/>
  <c r="J1199" i="4" s="1"/>
  <c r="J1197" i="4"/>
  <c r="H1191" i="4"/>
  <c r="H1192" i="4" s="1"/>
  <c r="F1188" i="4" s="1"/>
  <c r="F200" i="3" s="1"/>
  <c r="H200" i="3" s="1"/>
  <c r="H1185" i="4"/>
  <c r="H1186" i="4" s="1"/>
  <c r="F1182" i="4" s="1"/>
  <c r="F199" i="3" s="1"/>
  <c r="H199" i="3" s="1"/>
  <c r="J1179" i="4"/>
  <c r="D1177" i="4"/>
  <c r="J1177" i="4" s="1"/>
  <c r="D1176" i="4"/>
  <c r="J1176" i="4" s="1"/>
  <c r="K1170" i="4"/>
  <c r="C1168" i="4"/>
  <c r="K1168" i="4" s="1"/>
  <c r="C1167" i="4"/>
  <c r="K1167" i="4" s="1"/>
  <c r="K1165" i="4"/>
  <c r="B197" i="3"/>
  <c r="H1230" i="4" l="1"/>
  <c r="F1224" i="4" s="1"/>
  <c r="F206" i="3" s="1"/>
  <c r="H206" i="3" s="1"/>
  <c r="J1180" i="4"/>
  <c r="F1173" i="4" s="1"/>
  <c r="F198" i="3" s="1"/>
  <c r="H198" i="3" s="1"/>
  <c r="K1171" i="4"/>
  <c r="F1162" i="4" s="1"/>
  <c r="F197" i="3" s="1"/>
  <c r="H197" i="3" s="1"/>
  <c r="H1245" i="4"/>
  <c r="F1240" i="4" s="1"/>
  <c r="F208" i="3" s="1"/>
  <c r="H208" i="3" s="1"/>
  <c r="K1273" i="4"/>
  <c r="F1264" i="4" s="1"/>
  <c r="F213" i="3" s="1"/>
  <c r="H213" i="3" s="1"/>
  <c r="C1212" i="4"/>
  <c r="G1212" i="4" s="1"/>
  <c r="F1209" i="4" s="1"/>
  <c r="F203" i="3" s="1"/>
  <c r="H203" i="3" s="1"/>
  <c r="E1207" i="4"/>
  <c r="F1205" i="4" s="1"/>
  <c r="F202" i="3" s="1"/>
  <c r="H202" i="3" s="1"/>
  <c r="J1203" i="4"/>
  <c r="F1194" i="4" s="1"/>
  <c r="F201" i="3" s="1"/>
  <c r="H201" i="3" s="1"/>
  <c r="E1235" i="4" l="1"/>
  <c r="G1235" i="4" s="1"/>
  <c r="C1238" i="4" s="1"/>
  <c r="E1238" i="4" s="1"/>
  <c r="I1238" i="4" s="1"/>
  <c r="F1232" i="4" s="1"/>
  <c r="F207" i="3" s="1"/>
  <c r="H207" i="3" s="1"/>
  <c r="E1249" i="4"/>
  <c r="F1247" i="4" s="1"/>
  <c r="F209" i="3" s="1"/>
  <c r="H209" i="3" s="1"/>
  <c r="E1253" i="4"/>
  <c r="F1251" i="4" s="1"/>
  <c r="F210" i="3" s="1"/>
  <c r="H210" i="3" s="1"/>
  <c r="E1301" i="4"/>
  <c r="F1299" i="4" s="1"/>
  <c r="F220" i="3" s="1"/>
  <c r="H220" i="3" s="1"/>
  <c r="E1262" i="4"/>
  <c r="F1260" i="4" s="1"/>
  <c r="F212" i="3" s="1"/>
  <c r="H212" i="3" s="1"/>
  <c r="C1258" i="4"/>
  <c r="G1258" i="4" s="1"/>
  <c r="F1255" i="4" s="1"/>
  <c r="F211" i="3" s="1"/>
  <c r="H211" i="3" s="1"/>
  <c r="H221" i="3" l="1"/>
  <c r="F841" i="4" l="1"/>
  <c r="F811" i="4"/>
  <c r="F801" i="4"/>
  <c r="D791" i="4"/>
  <c r="F791" i="4" s="1"/>
  <c r="G743" i="4"/>
  <c r="E293" i="4"/>
  <c r="G293" i="4" s="1"/>
  <c r="C507" i="4"/>
  <c r="D507" i="4"/>
  <c r="E507" i="4"/>
  <c r="C502" i="4"/>
  <c r="D502" i="4"/>
  <c r="E502" i="4"/>
  <c r="G505" i="4"/>
  <c r="F502" i="4" s="1"/>
  <c r="G114" i="4"/>
  <c r="G231" i="4"/>
  <c r="G439" i="4"/>
  <c r="F447" i="4"/>
  <c r="F446" i="4"/>
  <c r="G462" i="4"/>
  <c r="F608" i="4"/>
  <c r="C605" i="4"/>
  <c r="D605" i="4"/>
  <c r="E605" i="4"/>
  <c r="C497" i="4"/>
  <c r="D497" i="4"/>
  <c r="E497" i="4"/>
  <c r="G500" i="4"/>
  <c r="F497" i="4" s="1"/>
  <c r="F78" i="3" s="1"/>
  <c r="C492" i="4"/>
  <c r="D492" i="4"/>
  <c r="E492" i="4"/>
  <c r="G495" i="4"/>
  <c r="F492" i="4" s="1"/>
  <c r="F77" i="3" s="1"/>
  <c r="C487" i="4"/>
  <c r="D487" i="4"/>
  <c r="E487" i="4"/>
  <c r="G490" i="4"/>
  <c r="F487" i="4" s="1"/>
  <c r="F76" i="3" s="1"/>
  <c r="C482" i="4"/>
  <c r="D482" i="4"/>
  <c r="E482" i="4"/>
  <c r="G485" i="4"/>
  <c r="F482" i="4" s="1"/>
  <c r="F75" i="3" s="1"/>
  <c r="F1087" i="4"/>
  <c r="F179" i="3" s="1"/>
  <c r="H179" i="3" s="1"/>
  <c r="C1087" i="4"/>
  <c r="D1087" i="4"/>
  <c r="E1087" i="4"/>
  <c r="F79" i="3" l="1"/>
  <c r="D510" i="4"/>
  <c r="F510" i="4" s="1"/>
  <c r="G510" i="4" s="1"/>
  <c r="F507" i="4" s="1"/>
  <c r="F80" i="3" s="1"/>
  <c r="G780" i="4"/>
  <c r="E728" i="4"/>
  <c r="G728" i="4" s="1"/>
  <c r="F727" i="4"/>
  <c r="E727" i="4"/>
  <c r="F695" i="4"/>
  <c r="G660" i="4"/>
  <c r="G659" i="4"/>
  <c r="G649" i="4"/>
  <c r="G621" i="4"/>
  <c r="G631" i="4"/>
  <c r="F582" i="4"/>
  <c r="F529" i="4"/>
  <c r="F85" i="3" s="1"/>
  <c r="C529" i="4"/>
  <c r="D529" i="4"/>
  <c r="E529" i="4"/>
  <c r="H85" i="3"/>
  <c r="F547" i="4"/>
  <c r="F541" i="4" s="1"/>
  <c r="F87" i="3" s="1"/>
  <c r="H87" i="3" s="1"/>
  <c r="G473" i="4"/>
  <c r="F448" i="4"/>
  <c r="G448" i="4" s="1"/>
  <c r="G410" i="4"/>
  <c r="C402" i="4"/>
  <c r="D402" i="4"/>
  <c r="E402" i="4"/>
  <c r="C413" i="4"/>
  <c r="D413" i="4"/>
  <c r="E413" i="4"/>
  <c r="C417" i="4"/>
  <c r="D417" i="4"/>
  <c r="E417" i="4"/>
  <c r="G335" i="4"/>
  <c r="F332" i="4" s="1"/>
  <c r="F52" i="3" s="1"/>
  <c r="H52" i="3" s="1"/>
  <c r="G219" i="4"/>
  <c r="G230" i="4"/>
  <c r="C1066" i="4"/>
  <c r="D1066" i="4"/>
  <c r="E1066" i="4"/>
  <c r="F1066" i="4"/>
  <c r="F173" i="3" s="1"/>
  <c r="H173" i="3" s="1"/>
  <c r="C600" i="4"/>
  <c r="D600" i="4"/>
  <c r="E600" i="4"/>
  <c r="C595" i="4"/>
  <c r="D595" i="4"/>
  <c r="E595" i="4"/>
  <c r="C590" i="4"/>
  <c r="D590" i="4"/>
  <c r="E590" i="4"/>
  <c r="F595" i="4"/>
  <c r="F95" i="3" s="1"/>
  <c r="F590" i="4"/>
  <c r="F94" i="3" s="1"/>
  <c r="H94" i="3" s="1"/>
  <c r="C1061" i="4"/>
  <c r="D1061" i="4"/>
  <c r="E1061" i="4"/>
  <c r="F1061" i="4"/>
  <c r="F172" i="3" s="1"/>
  <c r="C1056" i="4"/>
  <c r="D1056" i="4"/>
  <c r="E1056" i="4"/>
  <c r="F1056" i="4"/>
  <c r="F171" i="3" s="1"/>
  <c r="C1051" i="4"/>
  <c r="D1051" i="4"/>
  <c r="E1051" i="4"/>
  <c r="C1046" i="4"/>
  <c r="D1046" i="4"/>
  <c r="E1046" i="4"/>
  <c r="C1041" i="4"/>
  <c r="D1041" i="4"/>
  <c r="E1041" i="4"/>
  <c r="F1051" i="4"/>
  <c r="F170" i="3" s="1"/>
  <c r="F1046" i="4"/>
  <c r="F169" i="3" s="1"/>
  <c r="F1041" i="4"/>
  <c r="F168" i="3" s="1"/>
  <c r="C1036" i="4"/>
  <c r="D1036" i="4"/>
  <c r="E1036" i="4"/>
  <c r="C1031" i="4"/>
  <c r="D1031" i="4"/>
  <c r="E1031" i="4"/>
  <c r="C1026" i="4"/>
  <c r="D1026" i="4"/>
  <c r="E1026" i="4"/>
  <c r="F1036" i="4"/>
  <c r="F167" i="3" s="1"/>
  <c r="F1031" i="4"/>
  <c r="F166" i="3" s="1"/>
  <c r="F1026" i="4"/>
  <c r="F165" i="3" s="1"/>
  <c r="F800" i="4"/>
  <c r="F864" i="4"/>
  <c r="F843" i="4" s="1"/>
  <c r="F132" i="3" s="1"/>
  <c r="H132" i="3" s="1"/>
  <c r="C1021" i="4"/>
  <c r="D1021" i="4"/>
  <c r="E1021" i="4"/>
  <c r="F1021" i="4"/>
  <c r="F164" i="3" s="1"/>
  <c r="G480" i="4"/>
  <c r="F477" i="4" s="1"/>
  <c r="C477" i="4"/>
  <c r="D477" i="4"/>
  <c r="E477" i="4"/>
  <c r="C1153" i="4"/>
  <c r="D1153" i="4"/>
  <c r="E1153" i="4"/>
  <c r="F1153" i="4"/>
  <c r="F194" i="3" s="1"/>
  <c r="H194" i="3" s="1"/>
  <c r="F1016" i="4"/>
  <c r="F163" i="3" s="1"/>
  <c r="C1016" i="4"/>
  <c r="D1016" i="4"/>
  <c r="E1016" i="4"/>
  <c r="G95" i="4"/>
  <c r="F92" i="4" s="1"/>
  <c r="F20" i="3" s="1"/>
  <c r="H20" i="3" s="1"/>
  <c r="C92" i="4"/>
  <c r="D92" i="4"/>
  <c r="E92" i="4"/>
  <c r="F588" i="4"/>
  <c r="F585" i="4" s="1"/>
  <c r="F93" i="3" s="1"/>
  <c r="H93" i="3" s="1"/>
  <c r="C585" i="4"/>
  <c r="D585" i="4"/>
  <c r="E585" i="4"/>
  <c r="G90" i="4"/>
  <c r="F87" i="4" s="1"/>
  <c r="F19" i="3" s="1"/>
  <c r="H19" i="3" s="1"/>
  <c r="C87" i="4"/>
  <c r="D87" i="4"/>
  <c r="E87" i="4"/>
  <c r="G781" i="4"/>
  <c r="C777" i="4"/>
  <c r="D777" i="4"/>
  <c r="E777" i="4"/>
  <c r="G474" i="4"/>
  <c r="C470" i="4"/>
  <c r="D470" i="4"/>
  <c r="E470" i="4"/>
  <c r="F56" i="4"/>
  <c r="F55" i="4"/>
  <c r="F819" i="4"/>
  <c r="F131" i="3" s="1"/>
  <c r="H131" i="3" s="1"/>
  <c r="G765" i="4"/>
  <c r="G745" i="4"/>
  <c r="G744" i="4"/>
  <c r="G570" i="4"/>
  <c r="C1011" i="4"/>
  <c r="D1011" i="4"/>
  <c r="E1011" i="4"/>
  <c r="C1006" i="4"/>
  <c r="D1006" i="4"/>
  <c r="E1006" i="4"/>
  <c r="E581" i="4"/>
  <c r="F581" i="4" s="1"/>
  <c r="F576" i="4"/>
  <c r="F573" i="4" s="1"/>
  <c r="F91" i="3" s="1"/>
  <c r="H91" i="3" s="1"/>
  <c r="D573" i="4"/>
  <c r="C578" i="4"/>
  <c r="D578" i="4"/>
  <c r="E578" i="4"/>
  <c r="C573" i="4"/>
  <c r="E573" i="4"/>
  <c r="C1001" i="4"/>
  <c r="D1001" i="4"/>
  <c r="E1001" i="4"/>
  <c r="C996" i="4"/>
  <c r="D996" i="4"/>
  <c r="E996" i="4"/>
  <c r="F996" i="4"/>
  <c r="G1004" i="4" s="1"/>
  <c r="F1001" i="4" s="1"/>
  <c r="F160" i="3" s="1"/>
  <c r="H160" i="3" s="1"/>
  <c r="C991" i="4"/>
  <c r="D991" i="4"/>
  <c r="E991" i="4"/>
  <c r="G710" i="4"/>
  <c r="E711" i="4"/>
  <c r="G711" i="4" s="1"/>
  <c r="H708" i="4"/>
  <c r="G708" i="4" s="1"/>
  <c r="G709" i="4"/>
  <c r="G468" i="4"/>
  <c r="F465" i="4" s="1"/>
  <c r="F72" i="3" s="1"/>
  <c r="G461" i="4"/>
  <c r="G463" i="4" s="1"/>
  <c r="F458" i="4" s="1"/>
  <c r="G455" i="4"/>
  <c r="G454" i="4"/>
  <c r="G447" i="4"/>
  <c r="G446" i="4"/>
  <c r="G440" i="4"/>
  <c r="G438" i="4"/>
  <c r="C465" i="4"/>
  <c r="D465" i="4"/>
  <c r="E465" i="4"/>
  <c r="C458" i="4"/>
  <c r="D458" i="4"/>
  <c r="E458" i="4"/>
  <c r="C451" i="4"/>
  <c r="D451" i="4"/>
  <c r="E451" i="4"/>
  <c r="C443" i="4"/>
  <c r="D443" i="4"/>
  <c r="E443" i="4"/>
  <c r="C435" i="4"/>
  <c r="D435" i="4"/>
  <c r="E435" i="4"/>
  <c r="C430" i="4"/>
  <c r="D430" i="4"/>
  <c r="E430" i="4"/>
  <c r="C227" i="4"/>
  <c r="D227" i="4"/>
  <c r="E227" i="4"/>
  <c r="G113" i="4"/>
  <c r="G162" i="4"/>
  <c r="G634" i="4"/>
  <c r="G677" i="4" s="1"/>
  <c r="G633" i="4"/>
  <c r="G676" i="4" s="1"/>
  <c r="G632" i="4"/>
  <c r="G170" i="4"/>
  <c r="C1148" i="4"/>
  <c r="D1148" i="4"/>
  <c r="E1148" i="4"/>
  <c r="C1143" i="4"/>
  <c r="D1143" i="4"/>
  <c r="E1143" i="4"/>
  <c r="C1138" i="4"/>
  <c r="D1138" i="4"/>
  <c r="E1138" i="4"/>
  <c r="F1148" i="4"/>
  <c r="F193" i="3" s="1"/>
  <c r="H193" i="3" s="1"/>
  <c r="F1143" i="4"/>
  <c r="F192" i="3" s="1"/>
  <c r="H192" i="3" s="1"/>
  <c r="F1138" i="4"/>
  <c r="F191" i="3" s="1"/>
  <c r="H191" i="3" s="1"/>
  <c r="C1133" i="4"/>
  <c r="D1133" i="4"/>
  <c r="E1133" i="4"/>
  <c r="C1128" i="4"/>
  <c r="D1128" i="4"/>
  <c r="E1128" i="4"/>
  <c r="C1123" i="4"/>
  <c r="D1123" i="4"/>
  <c r="E1123" i="4"/>
  <c r="F1128" i="4"/>
  <c r="F189" i="3" s="1"/>
  <c r="H189" i="3" s="1"/>
  <c r="F1123" i="4"/>
  <c r="F188" i="3" s="1"/>
  <c r="H188" i="3" s="1"/>
  <c r="C1118" i="4"/>
  <c r="D1118" i="4"/>
  <c r="E1118" i="4"/>
  <c r="F1118" i="4"/>
  <c r="F187" i="3" s="1"/>
  <c r="H187" i="3" s="1"/>
  <c r="G683" i="4"/>
  <c r="C680" i="4"/>
  <c r="D680" i="4"/>
  <c r="E680" i="4"/>
  <c r="C425" i="4"/>
  <c r="D425" i="4"/>
  <c r="E425" i="4"/>
  <c r="G422" i="4"/>
  <c r="G421" i="4"/>
  <c r="G420" i="4"/>
  <c r="G409" i="4"/>
  <c r="G408" i="4"/>
  <c r="G407" i="4"/>
  <c r="G406" i="4"/>
  <c r="G405" i="4"/>
  <c r="C222" i="4"/>
  <c r="D222" i="4"/>
  <c r="E222" i="4"/>
  <c r="G225" i="4"/>
  <c r="F222" i="4" s="1"/>
  <c r="C214" i="4"/>
  <c r="D214" i="4"/>
  <c r="E214" i="4"/>
  <c r="G218" i="4"/>
  <c r="G217" i="4"/>
  <c r="E211" i="4"/>
  <c r="G211" i="4" s="1"/>
  <c r="G209" i="4"/>
  <c r="G210" i="4"/>
  <c r="E208" i="4"/>
  <c r="G208" i="4" s="1"/>
  <c r="C205" i="4"/>
  <c r="D205" i="4"/>
  <c r="E205" i="4"/>
  <c r="E774" i="4"/>
  <c r="G774" i="4" s="1"/>
  <c r="E773" i="4"/>
  <c r="G773" i="4" s="1"/>
  <c r="G772" i="4"/>
  <c r="G771" i="4"/>
  <c r="C768" i="4"/>
  <c r="D768" i="4"/>
  <c r="E768" i="4"/>
  <c r="E400" i="4"/>
  <c r="G400" i="4" s="1"/>
  <c r="F397" i="4" s="1"/>
  <c r="F62" i="3" s="1"/>
  <c r="G395" i="4"/>
  <c r="F392" i="4" s="1"/>
  <c r="F61" i="3" s="1"/>
  <c r="C397" i="4"/>
  <c r="D397" i="4"/>
  <c r="E397" i="4"/>
  <c r="C392" i="4"/>
  <c r="D392" i="4"/>
  <c r="E392" i="4"/>
  <c r="C986" i="4"/>
  <c r="D986" i="4"/>
  <c r="E986" i="4"/>
  <c r="F986" i="4"/>
  <c r="F157" i="3" s="1"/>
  <c r="H157" i="3" s="1"/>
  <c r="C387" i="4"/>
  <c r="D387" i="4"/>
  <c r="E387" i="4"/>
  <c r="F387" i="4"/>
  <c r="F60" i="3" s="1"/>
  <c r="H60" i="3" s="1"/>
  <c r="G381" i="4"/>
  <c r="G382" i="4"/>
  <c r="G383" i="4"/>
  <c r="G384" i="4"/>
  <c r="G380" i="4"/>
  <c r="G370" i="4"/>
  <c r="C377" i="4"/>
  <c r="D377" i="4"/>
  <c r="E377" i="4"/>
  <c r="C367" i="4"/>
  <c r="D367" i="4"/>
  <c r="E367" i="4"/>
  <c r="G374" i="4"/>
  <c r="G373" i="4"/>
  <c r="G372" i="4"/>
  <c r="G371" i="4"/>
  <c r="C513" i="4"/>
  <c r="D513" i="4"/>
  <c r="E513" i="4"/>
  <c r="G346" i="4"/>
  <c r="G347" i="4"/>
  <c r="G348" i="4"/>
  <c r="G349" i="4"/>
  <c r="G345" i="4"/>
  <c r="C362" i="4"/>
  <c r="D362" i="4"/>
  <c r="E362" i="4"/>
  <c r="C357" i="4"/>
  <c r="D357" i="4"/>
  <c r="E357" i="4"/>
  <c r="C352" i="4"/>
  <c r="D352" i="4"/>
  <c r="E352" i="4"/>
  <c r="C342" i="4"/>
  <c r="D342" i="4"/>
  <c r="E342" i="4"/>
  <c r="G306" i="4"/>
  <c r="G305" i="4"/>
  <c r="G304" i="4"/>
  <c r="G303" i="4"/>
  <c r="G302" i="4"/>
  <c r="G301" i="4"/>
  <c r="G300" i="4"/>
  <c r="C673" i="4"/>
  <c r="D673" i="4"/>
  <c r="E673" i="4"/>
  <c r="D628" i="4"/>
  <c r="E75" i="4"/>
  <c r="E80" i="4" s="1"/>
  <c r="C82" i="4"/>
  <c r="D82" i="4"/>
  <c r="E82" i="4"/>
  <c r="C77" i="4"/>
  <c r="D77" i="4"/>
  <c r="E77" i="4"/>
  <c r="C69" i="4"/>
  <c r="D69" i="4"/>
  <c r="E69" i="4"/>
  <c r="F82" i="4"/>
  <c r="F18" i="3" s="1"/>
  <c r="H18" i="3" s="1"/>
  <c r="C64" i="4"/>
  <c r="D64" i="4"/>
  <c r="E64" i="4"/>
  <c r="C59" i="4"/>
  <c r="D59" i="4"/>
  <c r="E59" i="4"/>
  <c r="C52" i="4"/>
  <c r="D52" i="4"/>
  <c r="E52" i="4"/>
  <c r="C1112" i="4"/>
  <c r="D1112" i="4"/>
  <c r="E1112" i="4"/>
  <c r="C1107" i="4"/>
  <c r="D1107" i="4"/>
  <c r="E1107" i="4"/>
  <c r="F1112" i="4"/>
  <c r="F184" i="3" s="1"/>
  <c r="H184" i="3" s="1"/>
  <c r="F1107" i="4"/>
  <c r="F183" i="3" s="1"/>
  <c r="H183" i="3" s="1"/>
  <c r="G624" i="4"/>
  <c r="G623" i="4"/>
  <c r="C981" i="4"/>
  <c r="D981" i="4"/>
  <c r="E981" i="4"/>
  <c r="F981" i="4"/>
  <c r="F156" i="3" s="1"/>
  <c r="H156" i="3" s="1"/>
  <c r="C976" i="4"/>
  <c r="D976" i="4"/>
  <c r="E976" i="4"/>
  <c r="F976" i="4"/>
  <c r="F155" i="3" s="1"/>
  <c r="H155" i="3" s="1"/>
  <c r="C971" i="4"/>
  <c r="D971" i="4"/>
  <c r="E971" i="4"/>
  <c r="F971" i="4"/>
  <c r="F154" i="3" s="1"/>
  <c r="H154" i="3" s="1"/>
  <c r="C966" i="4"/>
  <c r="D966" i="4"/>
  <c r="E966" i="4"/>
  <c r="F966" i="4"/>
  <c r="F153" i="3" s="1"/>
  <c r="H153" i="3" s="1"/>
  <c r="C961" i="4"/>
  <c r="D961" i="4"/>
  <c r="E961" i="4"/>
  <c r="F961" i="4"/>
  <c r="F152" i="3" s="1"/>
  <c r="H152" i="3" s="1"/>
  <c r="C956" i="4"/>
  <c r="D956" i="4"/>
  <c r="E956" i="4"/>
  <c r="F956" i="4"/>
  <c r="F151" i="3" s="1"/>
  <c r="H151" i="3" s="1"/>
  <c r="C951" i="4"/>
  <c r="D951" i="4"/>
  <c r="E951" i="4"/>
  <c r="F951" i="4"/>
  <c r="F150" i="3" s="1"/>
  <c r="H150" i="3" s="1"/>
  <c r="C946" i="4"/>
  <c r="D946" i="4"/>
  <c r="E946" i="4"/>
  <c r="F946" i="4"/>
  <c r="F149" i="3" s="1"/>
  <c r="H149" i="3" s="1"/>
  <c r="C941" i="4"/>
  <c r="D941" i="4"/>
  <c r="E941" i="4"/>
  <c r="F941" i="4"/>
  <c r="F148" i="3" s="1"/>
  <c r="H148" i="3" s="1"/>
  <c r="C936" i="4"/>
  <c r="D936" i="4"/>
  <c r="E936" i="4"/>
  <c r="F936" i="4"/>
  <c r="F147" i="3" s="1"/>
  <c r="H147" i="3" s="1"/>
  <c r="C931" i="4"/>
  <c r="D931" i="4"/>
  <c r="E931" i="4"/>
  <c r="F931" i="4"/>
  <c r="F146" i="3" s="1"/>
  <c r="H146" i="3" s="1"/>
  <c r="C926" i="4"/>
  <c r="D926" i="4"/>
  <c r="E926" i="4"/>
  <c r="F926" i="4"/>
  <c r="F145" i="3" s="1"/>
  <c r="H145" i="3" s="1"/>
  <c r="C921" i="4"/>
  <c r="D921" i="4"/>
  <c r="E921" i="4"/>
  <c r="F921" i="4"/>
  <c r="F144" i="3" s="1"/>
  <c r="H144" i="3" s="1"/>
  <c r="C916" i="4"/>
  <c r="D916" i="4"/>
  <c r="E916" i="4"/>
  <c r="F916" i="4"/>
  <c r="F143" i="3" s="1"/>
  <c r="H143" i="3" s="1"/>
  <c r="C911" i="4"/>
  <c r="D911" i="4"/>
  <c r="E911" i="4"/>
  <c r="F911" i="4"/>
  <c r="F142" i="3" s="1"/>
  <c r="H142" i="3" s="1"/>
  <c r="G201" i="4"/>
  <c r="G199" i="4"/>
  <c r="C196" i="4"/>
  <c r="D196" i="4"/>
  <c r="E196" i="4"/>
  <c r="G194" i="4"/>
  <c r="F188" i="4" s="1"/>
  <c r="F33" i="3" s="1"/>
  <c r="H33" i="3" s="1"/>
  <c r="C188" i="4"/>
  <c r="D188" i="4"/>
  <c r="E188" i="4"/>
  <c r="G569" i="4"/>
  <c r="G568" i="4"/>
  <c r="G567" i="4"/>
  <c r="G566" i="4"/>
  <c r="C563" i="4"/>
  <c r="D563" i="4"/>
  <c r="E563" i="4"/>
  <c r="C1102" i="4"/>
  <c r="D1102" i="4"/>
  <c r="E1102" i="4"/>
  <c r="F1102" i="4"/>
  <c r="F182" i="3" s="1"/>
  <c r="H182" i="3" s="1"/>
  <c r="E50" i="4"/>
  <c r="G50" i="4" s="1"/>
  <c r="F47" i="4" s="1"/>
  <c r="F12" i="3" s="1"/>
  <c r="H12" i="3" s="1"/>
  <c r="C47" i="4"/>
  <c r="D47" i="4"/>
  <c r="E47" i="4"/>
  <c r="G340" i="4"/>
  <c r="F337" i="4" s="1"/>
  <c r="F53" i="3" s="1"/>
  <c r="H53" i="3" s="1"/>
  <c r="C337" i="4"/>
  <c r="D337" i="4"/>
  <c r="E337" i="4"/>
  <c r="C1097" i="4"/>
  <c r="D1097" i="4"/>
  <c r="E1097" i="4"/>
  <c r="C1092" i="4"/>
  <c r="D1092" i="4"/>
  <c r="E1092" i="4"/>
  <c r="F1097" i="4"/>
  <c r="F181" i="3" s="1"/>
  <c r="H181" i="3" s="1"/>
  <c r="F1092" i="4"/>
  <c r="F180" i="3" s="1"/>
  <c r="H180" i="3" s="1"/>
  <c r="C1082" i="4"/>
  <c r="D1082" i="4"/>
  <c r="E1082" i="4"/>
  <c r="C1077" i="4"/>
  <c r="D1077" i="4"/>
  <c r="E1077" i="4"/>
  <c r="F1082" i="4"/>
  <c r="F178" i="3" s="1"/>
  <c r="H178" i="3" s="1"/>
  <c r="F1077" i="4"/>
  <c r="F177" i="3" s="1"/>
  <c r="H177" i="3" s="1"/>
  <c r="F1072" i="4"/>
  <c r="F176" i="3" s="1"/>
  <c r="H176" i="3" s="1"/>
  <c r="C1072" i="4"/>
  <c r="D1072" i="4"/>
  <c r="E1072" i="4"/>
  <c r="G45" i="4"/>
  <c r="F42" i="4" s="1"/>
  <c r="F11" i="3" s="1"/>
  <c r="H11" i="3" s="1"/>
  <c r="C42" i="4"/>
  <c r="D42" i="4"/>
  <c r="E42" i="4"/>
  <c r="G669" i="4"/>
  <c r="G668" i="4"/>
  <c r="G667" i="4"/>
  <c r="G670" i="4"/>
  <c r="C664" i="4"/>
  <c r="D664" i="4"/>
  <c r="E664" i="4"/>
  <c r="G656" i="4"/>
  <c r="G662" i="4" s="1"/>
  <c r="G647" i="4"/>
  <c r="G622" i="4"/>
  <c r="C653" i="4"/>
  <c r="D653" i="4"/>
  <c r="E653" i="4"/>
  <c r="C37" i="4"/>
  <c r="D37" i="4"/>
  <c r="E37" i="4"/>
  <c r="F37" i="4"/>
  <c r="F10" i="3" s="1"/>
  <c r="H10" i="3" s="1"/>
  <c r="C32" i="4"/>
  <c r="D32" i="4"/>
  <c r="E32" i="4"/>
  <c r="C906" i="4"/>
  <c r="D906" i="4"/>
  <c r="E906" i="4"/>
  <c r="F906" i="4"/>
  <c r="F141" i="3" s="1"/>
  <c r="H141" i="3" s="1"/>
  <c r="C901" i="4"/>
  <c r="D901" i="4"/>
  <c r="E901" i="4"/>
  <c r="F901" i="4"/>
  <c r="F140" i="3" s="1"/>
  <c r="H140" i="3" s="1"/>
  <c r="C896" i="4"/>
  <c r="D896" i="4"/>
  <c r="E896" i="4"/>
  <c r="F896" i="4"/>
  <c r="F139" i="3" s="1"/>
  <c r="H139" i="3" s="1"/>
  <c r="C891" i="4"/>
  <c r="D891" i="4"/>
  <c r="E891" i="4"/>
  <c r="F891" i="4"/>
  <c r="F138" i="3" s="1"/>
  <c r="H138" i="3" s="1"/>
  <c r="C886" i="4"/>
  <c r="D886" i="4"/>
  <c r="E886" i="4"/>
  <c r="F886" i="4"/>
  <c r="F137" i="3" s="1"/>
  <c r="H137" i="3" s="1"/>
  <c r="C881" i="4"/>
  <c r="D881" i="4"/>
  <c r="E881" i="4"/>
  <c r="F881" i="4"/>
  <c r="F136" i="3" s="1"/>
  <c r="H136" i="3" s="1"/>
  <c r="C876" i="4"/>
  <c r="D876" i="4"/>
  <c r="E876" i="4"/>
  <c r="F876" i="4"/>
  <c r="F135" i="3" s="1"/>
  <c r="H135" i="3" s="1"/>
  <c r="C871" i="4"/>
  <c r="D871" i="4"/>
  <c r="E871" i="4"/>
  <c r="F871" i="4"/>
  <c r="F134" i="3" s="1"/>
  <c r="H134" i="3" s="1"/>
  <c r="F866" i="4"/>
  <c r="F133" i="3" s="1"/>
  <c r="H133" i="3" s="1"/>
  <c r="C866" i="4"/>
  <c r="D866" i="4"/>
  <c r="E866" i="4"/>
  <c r="G646" i="4"/>
  <c r="G651" i="4" s="1"/>
  <c r="C643" i="4"/>
  <c r="D643" i="4"/>
  <c r="E643" i="4"/>
  <c r="C638" i="4"/>
  <c r="D638" i="4"/>
  <c r="E638" i="4"/>
  <c r="F638" i="4"/>
  <c r="F103" i="3" s="1"/>
  <c r="H103" i="3" s="1"/>
  <c r="C332" i="4"/>
  <c r="D332" i="4"/>
  <c r="E332" i="4"/>
  <c r="C327" i="4"/>
  <c r="D327" i="4"/>
  <c r="E327" i="4"/>
  <c r="C628" i="4"/>
  <c r="E628" i="4"/>
  <c r="C618" i="4"/>
  <c r="D618" i="4"/>
  <c r="E618" i="4"/>
  <c r="E764" i="4"/>
  <c r="E763" i="4"/>
  <c r="E762" i="4"/>
  <c r="E761" i="4"/>
  <c r="C758" i="4"/>
  <c r="D758" i="4"/>
  <c r="E758" i="4"/>
  <c r="C753" i="4"/>
  <c r="D753" i="4"/>
  <c r="E753" i="4"/>
  <c r="C748" i="4"/>
  <c r="D748" i="4"/>
  <c r="E748" i="4"/>
  <c r="G742" i="4"/>
  <c r="G741" i="4" s="1"/>
  <c r="G738" i="4"/>
  <c r="G737" i="4"/>
  <c r="G720" i="4"/>
  <c r="G739" i="4"/>
  <c r="G735" i="4"/>
  <c r="G736" i="4"/>
  <c r="G734" i="4"/>
  <c r="C731" i="4"/>
  <c r="D731" i="4"/>
  <c r="E731" i="4"/>
  <c r="C723" i="4"/>
  <c r="D723" i="4"/>
  <c r="E723" i="4"/>
  <c r="G726" i="4"/>
  <c r="G719" i="4"/>
  <c r="G718" i="4"/>
  <c r="C714" i="4"/>
  <c r="D714" i="4"/>
  <c r="E714" i="4"/>
  <c r="G717" i="4"/>
  <c r="G707" i="4"/>
  <c r="G706" i="4"/>
  <c r="E28" i="4"/>
  <c r="G28" i="4" s="1"/>
  <c r="E30" i="4" s="1"/>
  <c r="G30" i="4" s="1"/>
  <c r="F25" i="4" s="1"/>
  <c r="F8" i="3" s="1"/>
  <c r="H8" i="3" s="1"/>
  <c r="C25" i="4"/>
  <c r="D25" i="4"/>
  <c r="E25" i="4"/>
  <c r="C20" i="4"/>
  <c r="D20" i="4"/>
  <c r="E20" i="4"/>
  <c r="C15" i="4"/>
  <c r="D15" i="4"/>
  <c r="E15" i="4"/>
  <c r="C10" i="4"/>
  <c r="D10" i="4"/>
  <c r="E10" i="4"/>
  <c r="G6" i="4"/>
  <c r="E8" i="4" s="1"/>
  <c r="G8" i="4" s="1"/>
  <c r="F3" i="4" s="1"/>
  <c r="F4" i="3" s="1"/>
  <c r="H4" i="3" s="1"/>
  <c r="C3" i="4"/>
  <c r="D3" i="4"/>
  <c r="E3" i="4"/>
  <c r="B3" i="4"/>
  <c r="B5" i="3"/>
  <c r="B6" i="3" s="1"/>
  <c r="C843" i="4"/>
  <c r="D843" i="4"/>
  <c r="E843" i="4"/>
  <c r="C819" i="4"/>
  <c r="D819" i="4"/>
  <c r="E819" i="4"/>
  <c r="F814" i="4"/>
  <c r="F130" i="3" s="1"/>
  <c r="H130" i="3" s="1"/>
  <c r="C814" i="4"/>
  <c r="D814" i="4"/>
  <c r="E814" i="4"/>
  <c r="C804" i="4"/>
  <c r="D804" i="4"/>
  <c r="E804" i="4"/>
  <c r="F809" i="4"/>
  <c r="F808" i="4"/>
  <c r="F807" i="4"/>
  <c r="C794" i="4"/>
  <c r="D794" i="4"/>
  <c r="E794" i="4"/>
  <c r="F799" i="4"/>
  <c r="F798" i="4"/>
  <c r="F797" i="4"/>
  <c r="F790" i="4"/>
  <c r="F789" i="4"/>
  <c r="F788" i="4"/>
  <c r="E785" i="4"/>
  <c r="D785" i="4"/>
  <c r="C785" i="4"/>
  <c r="C703" i="4"/>
  <c r="D703" i="4"/>
  <c r="E703" i="4"/>
  <c r="G324" i="4"/>
  <c r="C319" i="4"/>
  <c r="D319" i="4"/>
  <c r="E319" i="4"/>
  <c r="G616" i="4"/>
  <c r="F611" i="4" s="1"/>
  <c r="F100" i="3" s="1"/>
  <c r="H100" i="3" s="1"/>
  <c r="C700" i="4"/>
  <c r="D700" i="4"/>
  <c r="E700" i="4"/>
  <c r="C698" i="4"/>
  <c r="D698" i="4"/>
  <c r="E698" i="4"/>
  <c r="E291" i="4"/>
  <c r="G291" i="4" s="1"/>
  <c r="E292" i="4"/>
  <c r="G292" i="4" s="1"/>
  <c r="D693" i="4"/>
  <c r="F693" i="4" s="1"/>
  <c r="F694" i="4"/>
  <c r="C690" i="4"/>
  <c r="D690" i="4"/>
  <c r="E690" i="4"/>
  <c r="C611" i="4"/>
  <c r="D611" i="4"/>
  <c r="E611" i="4"/>
  <c r="F558" i="4"/>
  <c r="F89" i="3" s="1"/>
  <c r="F556" i="4"/>
  <c r="F549" i="4" s="1"/>
  <c r="F88" i="3" s="1"/>
  <c r="H88" i="3" s="1"/>
  <c r="F539" i="4"/>
  <c r="F534" i="4" s="1"/>
  <c r="F86" i="3" s="1"/>
  <c r="H86" i="3" s="1"/>
  <c r="F527" i="4"/>
  <c r="F521" i="4" s="1"/>
  <c r="F84" i="3" s="1"/>
  <c r="H84" i="3" s="1"/>
  <c r="F519" i="4"/>
  <c r="F513" i="4" s="1"/>
  <c r="C558" i="4"/>
  <c r="D558" i="4"/>
  <c r="E558" i="4"/>
  <c r="C549" i="4"/>
  <c r="D549" i="4"/>
  <c r="E549" i="4"/>
  <c r="C541" i="4"/>
  <c r="D541" i="4"/>
  <c r="E541" i="4"/>
  <c r="C534" i="4"/>
  <c r="D534" i="4"/>
  <c r="E534" i="4"/>
  <c r="C521" i="4"/>
  <c r="D521" i="4"/>
  <c r="E521" i="4"/>
  <c r="G316" i="4"/>
  <c r="G315" i="4"/>
  <c r="C309" i="4"/>
  <c r="D309" i="4"/>
  <c r="E309" i="4"/>
  <c r="G314" i="4"/>
  <c r="G313" i="4"/>
  <c r="G312" i="4"/>
  <c r="C296" i="4"/>
  <c r="D296" i="4"/>
  <c r="E296" i="4"/>
  <c r="G299" i="4"/>
  <c r="C288" i="4"/>
  <c r="D288" i="4"/>
  <c r="E288" i="4"/>
  <c r="G285" i="4"/>
  <c r="G284" i="4"/>
  <c r="G283" i="4"/>
  <c r="G282" i="4"/>
  <c r="G281" i="4"/>
  <c r="G280" i="4"/>
  <c r="G279" i="4"/>
  <c r="G276" i="4"/>
  <c r="G277" i="4"/>
  <c r="G278" i="4"/>
  <c r="C273" i="4"/>
  <c r="D273" i="4"/>
  <c r="E273" i="4"/>
  <c r="G270" i="4"/>
  <c r="G269" i="4"/>
  <c r="G268" i="4"/>
  <c r="C265" i="4"/>
  <c r="D265" i="4"/>
  <c r="E265" i="4"/>
  <c r="G186" i="4"/>
  <c r="F183" i="4" s="1"/>
  <c r="E247" i="4" s="1"/>
  <c r="G247" i="4" s="1"/>
  <c r="C183" i="4"/>
  <c r="D183" i="4"/>
  <c r="E183" i="4"/>
  <c r="C259" i="4"/>
  <c r="D259" i="4"/>
  <c r="E259" i="4"/>
  <c r="G168" i="4"/>
  <c r="C235" i="4"/>
  <c r="D235" i="4"/>
  <c r="E235" i="4"/>
  <c r="F178" i="4"/>
  <c r="F31" i="3" s="1"/>
  <c r="H31" i="3" s="1"/>
  <c r="C178" i="4"/>
  <c r="D178" i="4"/>
  <c r="E178" i="4"/>
  <c r="G149" i="4"/>
  <c r="G175" i="4"/>
  <c r="G174" i="4"/>
  <c r="G173" i="4"/>
  <c r="G172" i="4"/>
  <c r="G161" i="4"/>
  <c r="G171" i="4"/>
  <c r="G169" i="4"/>
  <c r="G125" i="4"/>
  <c r="G124" i="4"/>
  <c r="G143" i="4"/>
  <c r="G142" i="4"/>
  <c r="G123" i="4"/>
  <c r="C165" i="4"/>
  <c r="D165" i="4"/>
  <c r="E165" i="4"/>
  <c r="C156" i="4"/>
  <c r="D156" i="4"/>
  <c r="E156" i="4"/>
  <c r="G141" i="4"/>
  <c r="G122" i="4"/>
  <c r="G121" i="4"/>
  <c r="G140" i="4"/>
  <c r="G139" i="4"/>
  <c r="G138" i="4"/>
  <c r="G137" i="4"/>
  <c r="G136" i="4"/>
  <c r="G135" i="4"/>
  <c r="C151" i="4"/>
  <c r="D151" i="4"/>
  <c r="E151" i="4"/>
  <c r="G154" i="4"/>
  <c r="F151" i="4" s="1"/>
  <c r="E243" i="4" s="1"/>
  <c r="C146" i="4"/>
  <c r="D146" i="4"/>
  <c r="E146" i="4"/>
  <c r="G134" i="4"/>
  <c r="G133" i="4"/>
  <c r="C129" i="4"/>
  <c r="D129" i="4"/>
  <c r="E129" i="4"/>
  <c r="G132" i="4"/>
  <c r="G120" i="4"/>
  <c r="C117" i="4"/>
  <c r="D117" i="4"/>
  <c r="E117" i="4"/>
  <c r="G112" i="4"/>
  <c r="G111" i="4"/>
  <c r="G110" i="4"/>
  <c r="G109" i="4"/>
  <c r="E106" i="4"/>
  <c r="D106" i="4"/>
  <c r="C106" i="4"/>
  <c r="G102" i="4"/>
  <c r="G103" i="4"/>
  <c r="G101" i="4"/>
  <c r="E98" i="4"/>
  <c r="D98" i="4"/>
  <c r="C98" i="4"/>
  <c r="G636" i="4" l="1"/>
  <c r="G626" i="4"/>
  <c r="F802" i="4"/>
  <c r="F794" i="4" s="1"/>
  <c r="F128" i="3" s="1"/>
  <c r="H128" i="3" s="1"/>
  <c r="F792" i="4"/>
  <c r="F785" i="4" s="1"/>
  <c r="F127" i="3" s="1"/>
  <c r="H127" i="3" s="1"/>
  <c r="G294" i="4"/>
  <c r="G441" i="4"/>
  <c r="F435" i="4" s="1"/>
  <c r="F68" i="3" s="1"/>
  <c r="G115" i="4"/>
  <c r="G232" i="4"/>
  <c r="F227" i="4" s="1"/>
  <c r="F71" i="3"/>
  <c r="E252" i="4"/>
  <c r="G252" i="4" s="1"/>
  <c r="F37" i="3"/>
  <c r="H37" i="3" s="1"/>
  <c r="G727" i="4"/>
  <c r="G729" i="4" s="1"/>
  <c r="F723" i="4" s="1"/>
  <c r="F118" i="3" s="1"/>
  <c r="H118" i="3" s="1"/>
  <c r="F74" i="3"/>
  <c r="F696" i="4"/>
  <c r="F690" i="4" s="1"/>
  <c r="F700" i="4" s="1"/>
  <c r="F113" i="3" s="1"/>
  <c r="H113" i="3" s="1"/>
  <c r="F643" i="4"/>
  <c r="F104" i="3" s="1"/>
  <c r="H104" i="3" s="1"/>
  <c r="F680" i="4"/>
  <c r="F108" i="3" s="1"/>
  <c r="H108" i="3" s="1"/>
  <c r="G449" i="4"/>
  <c r="F443" i="4" s="1"/>
  <c r="F69" i="3" s="1"/>
  <c r="F603" i="4"/>
  <c r="F600" i="4" s="1"/>
  <c r="G411" i="4"/>
  <c r="G220" i="4"/>
  <c r="F214" i="4" s="1"/>
  <c r="E251" i="4" s="1"/>
  <c r="G251" i="4" s="1"/>
  <c r="E248" i="4"/>
  <c r="G330" i="4"/>
  <c r="F327" i="4" s="1"/>
  <c r="F51" i="3" s="1"/>
  <c r="H51" i="3" s="1"/>
  <c r="F1136" i="4"/>
  <c r="F1133" i="4" s="1"/>
  <c r="F190" i="3" s="1"/>
  <c r="H190" i="3" s="1"/>
  <c r="H195" i="3" s="1"/>
  <c r="F810" i="4"/>
  <c r="F812" i="4" s="1"/>
  <c r="F583" i="4"/>
  <c r="F578" i="4" s="1"/>
  <c r="F92" i="3" s="1"/>
  <c r="H92" i="3" s="1"/>
  <c r="G782" i="4"/>
  <c r="F777" i="4" s="1"/>
  <c r="F124" i="3" s="1"/>
  <c r="H124" i="3" s="1"/>
  <c r="G475" i="4"/>
  <c r="F470" i="4" s="1"/>
  <c r="F73" i="3" s="1"/>
  <c r="G57" i="4"/>
  <c r="F52" i="4" s="1"/>
  <c r="G67" i="4" s="1"/>
  <c r="F64" i="4" s="1"/>
  <c r="F15" i="3" s="1"/>
  <c r="H15" i="3" s="1"/>
  <c r="G746" i="4"/>
  <c r="G571" i="4"/>
  <c r="F563" i="4" s="1"/>
  <c r="F90" i="3" s="1"/>
  <c r="H90" i="3" s="1"/>
  <c r="F159" i="3"/>
  <c r="H159" i="3" s="1"/>
  <c r="G712" i="4"/>
  <c r="F703" i="4" s="1"/>
  <c r="F116" i="3" s="1"/>
  <c r="H116" i="3" s="1"/>
  <c r="E994" i="4"/>
  <c r="G994" i="4" s="1"/>
  <c r="F991" i="4" s="1"/>
  <c r="F158" i="3" s="1"/>
  <c r="H158" i="3" s="1"/>
  <c r="G456" i="4"/>
  <c r="F451" i="4" s="1"/>
  <c r="G163" i="4"/>
  <c r="F156" i="4" s="1"/>
  <c r="F628" i="4"/>
  <c r="F102" i="3" s="1"/>
  <c r="H102" i="3" s="1"/>
  <c r="H248" i="4"/>
  <c r="G176" i="4"/>
  <c r="G423" i="4"/>
  <c r="F417" i="4" s="1"/>
  <c r="F65" i="3" s="1"/>
  <c r="G212" i="4"/>
  <c r="F205" i="4" s="1"/>
  <c r="G775" i="4"/>
  <c r="F768" i="4" s="1"/>
  <c r="F123" i="3" s="1"/>
  <c r="H123" i="3" s="1"/>
  <c r="G385" i="4"/>
  <c r="F377" i="4" s="1"/>
  <c r="F59" i="3" s="1"/>
  <c r="H59" i="3" s="1"/>
  <c r="G375" i="4"/>
  <c r="F367" i="4" s="1"/>
  <c r="F58" i="3" s="1"/>
  <c r="H58" i="3" s="1"/>
  <c r="G350" i="4"/>
  <c r="F342" i="4" s="1"/>
  <c r="F54" i="3" s="1"/>
  <c r="H54" i="3" s="1"/>
  <c r="F83" i="3"/>
  <c r="H83" i="3" s="1"/>
  <c r="G307" i="4"/>
  <c r="F296" i="4" s="1"/>
  <c r="F48" i="3" s="1"/>
  <c r="H48" i="3" s="1"/>
  <c r="G678" i="4"/>
  <c r="F673" i="4" s="1"/>
  <c r="F107" i="3" s="1"/>
  <c r="H107" i="3" s="1"/>
  <c r="G75" i="4"/>
  <c r="F69" i="4" s="1"/>
  <c r="F16" i="3" s="1"/>
  <c r="H16" i="3" s="1"/>
  <c r="F618" i="4"/>
  <c r="F101" i="3" s="1"/>
  <c r="H101" i="3" s="1"/>
  <c r="G203" i="4"/>
  <c r="F196" i="4" s="1"/>
  <c r="F653" i="4"/>
  <c r="F105" i="3" s="1"/>
  <c r="H105" i="3" s="1"/>
  <c r="G671" i="4"/>
  <c r="F664" i="4" s="1"/>
  <c r="F106" i="3" s="1"/>
  <c r="H106" i="3" s="1"/>
  <c r="G35" i="4"/>
  <c r="F32" i="4" s="1"/>
  <c r="F9" i="3" s="1"/>
  <c r="H9" i="3" s="1"/>
  <c r="H185" i="3"/>
  <c r="D762" i="4"/>
  <c r="G762" i="4" s="1"/>
  <c r="D763" i="4"/>
  <c r="G763" i="4" s="1"/>
  <c r="D764" i="4"/>
  <c r="G764" i="4" s="1"/>
  <c r="F32" i="3"/>
  <c r="H32" i="3" s="1"/>
  <c r="D761" i="4"/>
  <c r="G761" i="4" s="1"/>
  <c r="G721" i="4"/>
  <c r="F714" i="4" s="1"/>
  <c r="F117" i="3" s="1"/>
  <c r="H117" i="3" s="1"/>
  <c r="B10" i="4"/>
  <c r="B7" i="3"/>
  <c r="B15" i="4"/>
  <c r="E13" i="4"/>
  <c r="G13" i="4" s="1"/>
  <c r="F10" i="4" s="1"/>
  <c r="F5" i="3" s="1"/>
  <c r="H5" i="3" s="1"/>
  <c r="E23" i="4"/>
  <c r="G23" i="4" s="1"/>
  <c r="F20" i="4" s="1"/>
  <c r="F7" i="3" s="1"/>
  <c r="H7" i="3" s="1"/>
  <c r="G18" i="4"/>
  <c r="F15" i="4" s="1"/>
  <c r="F6" i="3" s="1"/>
  <c r="H6" i="3" s="1"/>
  <c r="H89" i="3"/>
  <c r="G271" i="4"/>
  <c r="F265" i="4" s="1"/>
  <c r="F45" i="3" s="1"/>
  <c r="H45" i="3" s="1"/>
  <c r="G317" i="4"/>
  <c r="F309" i="4" s="1"/>
  <c r="F49" i="3" s="1"/>
  <c r="H49" i="3" s="1"/>
  <c r="G286" i="4"/>
  <c r="F28" i="3"/>
  <c r="H28" i="3" s="1"/>
  <c r="G243" i="4"/>
  <c r="G126" i="4"/>
  <c r="F117" i="4" s="1"/>
  <c r="G144" i="4"/>
  <c r="F129" i="4" s="1"/>
  <c r="G104" i="4"/>
  <c r="F146" i="4"/>
  <c r="F38" i="3" l="1"/>
  <c r="H38" i="3" s="1"/>
  <c r="G433" i="4"/>
  <c r="F430" i="4" s="1"/>
  <c r="F67" i="3" s="1"/>
  <c r="F70" i="3"/>
  <c r="F96" i="3"/>
  <c r="H96" i="3" s="1"/>
  <c r="H98" i="3" s="1"/>
  <c r="F605" i="4"/>
  <c r="F97" i="3" s="1"/>
  <c r="H97" i="3" s="1"/>
  <c r="F402" i="4"/>
  <c r="F63" i="3" s="1"/>
  <c r="E415" i="4"/>
  <c r="F111" i="3"/>
  <c r="H111" i="3" s="1"/>
  <c r="F698" i="4"/>
  <c r="F112" i="3" s="1"/>
  <c r="H112" i="3" s="1"/>
  <c r="G248" i="4"/>
  <c r="F27" i="3"/>
  <c r="H27" i="3" s="1"/>
  <c r="E242" i="4"/>
  <c r="G242" i="4" s="1"/>
  <c r="F26" i="3"/>
  <c r="H26" i="3" s="1"/>
  <c r="E241" i="4"/>
  <c r="G241" i="4" s="1"/>
  <c r="F25" i="3"/>
  <c r="H25" i="3" s="1"/>
  <c r="E240" i="4"/>
  <c r="G240" i="4" s="1"/>
  <c r="F29" i="3"/>
  <c r="H29" i="3" s="1"/>
  <c r="E244" i="4"/>
  <c r="G244" i="4" s="1"/>
  <c r="F13" i="3"/>
  <c r="H13" i="3" s="1"/>
  <c r="G62" i="4"/>
  <c r="F59" i="4" s="1"/>
  <c r="F14" i="3" s="1"/>
  <c r="H14" i="3" s="1"/>
  <c r="G766" i="4"/>
  <c r="G253" i="4"/>
  <c r="F35" i="3"/>
  <c r="H35" i="3" s="1"/>
  <c r="E250" i="4"/>
  <c r="G250" i="4" s="1"/>
  <c r="F34" i="3"/>
  <c r="H34" i="3" s="1"/>
  <c r="E249" i="4"/>
  <c r="G249" i="4" s="1"/>
  <c r="G428" i="4"/>
  <c r="F425" i="4" s="1"/>
  <c r="F66" i="3" s="1"/>
  <c r="F36" i="3"/>
  <c r="H36" i="3" s="1"/>
  <c r="E355" i="4"/>
  <c r="G360" i="4" s="1"/>
  <c r="H109" i="3"/>
  <c r="F731" i="4"/>
  <c r="F119" i="3" s="1"/>
  <c r="H119" i="3" s="1"/>
  <c r="G751" i="4"/>
  <c r="B8" i="3"/>
  <c r="B20" i="4"/>
  <c r="F804" i="4"/>
  <c r="F129" i="3" s="1"/>
  <c r="H129" i="3" s="1"/>
  <c r="F288" i="4"/>
  <c r="F273" i="4"/>
  <c r="F98" i="4"/>
  <c r="F165" i="4"/>
  <c r="F106" i="4"/>
  <c r="F413" i="4" l="1"/>
  <c r="F64" i="3" s="1"/>
  <c r="H114" i="3"/>
  <c r="F47" i="3"/>
  <c r="H47" i="3" s="1"/>
  <c r="E323" i="4"/>
  <c r="G323" i="4" s="1"/>
  <c r="F46" i="3"/>
  <c r="H46" i="3" s="1"/>
  <c r="E322" i="4"/>
  <c r="G322" i="4" s="1"/>
  <c r="F24" i="3"/>
  <c r="H24" i="3" s="1"/>
  <c r="E239" i="4"/>
  <c r="G239" i="4" s="1"/>
  <c r="F30" i="3"/>
  <c r="H30" i="3" s="1"/>
  <c r="G245" i="4"/>
  <c r="F23" i="3"/>
  <c r="H23" i="3" s="1"/>
  <c r="G238" i="4"/>
  <c r="F758" i="4"/>
  <c r="G355" i="4"/>
  <c r="F352" i="4" s="1"/>
  <c r="F55" i="3" s="1"/>
  <c r="H55" i="3" s="1"/>
  <c r="G365" i="4"/>
  <c r="F362" i="4" s="1"/>
  <c r="F57" i="3" s="1"/>
  <c r="H57" i="3" s="1"/>
  <c r="F357" i="4"/>
  <c r="F56" i="3" s="1"/>
  <c r="H56" i="3" s="1"/>
  <c r="F748" i="4"/>
  <c r="F120" i="3" s="1"/>
  <c r="H120" i="3" s="1"/>
  <c r="G756" i="4"/>
  <c r="F753" i="4" s="1"/>
  <c r="F121" i="3" s="1"/>
  <c r="H121" i="3" s="1"/>
  <c r="B9" i="3"/>
  <c r="B25" i="4"/>
  <c r="G325" i="4" l="1"/>
  <c r="F319" i="4" s="1"/>
  <c r="F50" i="3" s="1"/>
  <c r="H50" i="3" s="1"/>
  <c r="H81" i="3" s="1"/>
  <c r="G254" i="4"/>
  <c r="G262" i="4" s="1"/>
  <c r="H39" i="3"/>
  <c r="F122" i="3"/>
  <c r="H122" i="3" s="1"/>
  <c r="H125" i="3" s="1"/>
  <c r="B10" i="3"/>
  <c r="B32" i="4"/>
  <c r="B11" i="3" l="1"/>
  <c r="B37" i="4"/>
  <c r="F259" i="4"/>
  <c r="F42" i="3" s="1"/>
  <c r="H42" i="3" s="1"/>
  <c r="E257" i="4"/>
  <c r="G257" i="4" s="1"/>
  <c r="B12" i="3" l="1"/>
  <c r="B42" i="4"/>
  <c r="F235" i="4"/>
  <c r="F41" i="3" s="1"/>
  <c r="H41" i="3" s="1"/>
  <c r="H43" i="3" s="1"/>
  <c r="B13" i="3" l="1"/>
  <c r="B47" i="4"/>
  <c r="B14" i="3" l="1"/>
  <c r="B52" i="4"/>
  <c r="B15" i="3" l="1"/>
  <c r="B59" i="4"/>
  <c r="B16" i="3" l="1"/>
  <c r="B64" i="4"/>
  <c r="B17" i="3" l="1"/>
  <c r="B69" i="4"/>
  <c r="B18" i="3" l="1"/>
  <c r="B77" i="4"/>
  <c r="B19" i="3" l="1"/>
  <c r="B20" i="3" s="1"/>
  <c r="B82" i="4"/>
  <c r="B92" i="4" l="1"/>
  <c r="B23" i="3"/>
  <c r="B24" i="3" s="1"/>
  <c r="B87" i="4"/>
  <c r="B98" i="4" l="1"/>
  <c r="B106" i="4"/>
  <c r="B25" i="3"/>
  <c r="B26" i="3" l="1"/>
  <c r="B117" i="4"/>
  <c r="B27" i="3" l="1"/>
  <c r="B129" i="4"/>
  <c r="B28" i="3" l="1"/>
  <c r="B146" i="4"/>
  <c r="B29" i="3" l="1"/>
  <c r="B151" i="4"/>
  <c r="B30" i="3" l="1"/>
  <c r="B156" i="4"/>
  <c r="B31" i="3" l="1"/>
  <c r="B165" i="4"/>
  <c r="B32" i="3" l="1"/>
  <c r="B178" i="4"/>
  <c r="B33" i="3" l="1"/>
  <c r="B183" i="4"/>
  <c r="B34" i="3" l="1"/>
  <c r="B188" i="4"/>
  <c r="B35" i="3" l="1"/>
  <c r="B196" i="4"/>
  <c r="B36" i="3" l="1"/>
  <c r="B205" i="4"/>
  <c r="B37" i="3" l="1"/>
  <c r="B214" i="4"/>
  <c r="B38" i="3" l="1"/>
  <c r="B41" i="3" s="1"/>
  <c r="B222" i="4"/>
  <c r="B42" i="3" l="1"/>
  <c r="B45" i="3" s="1"/>
  <c r="B227" i="4"/>
  <c r="B235" i="4" l="1"/>
  <c r="B259" i="4"/>
  <c r="B265" i="4" l="1"/>
  <c r="B46" i="3"/>
  <c r="B47" i="3" l="1"/>
  <c r="B273" i="4"/>
  <c r="B288" i="4" l="1"/>
  <c r="B48" i="3"/>
  <c r="B49" i="3" l="1"/>
  <c r="B296" i="4"/>
  <c r="B50" i="3" l="1"/>
  <c r="B309" i="4"/>
  <c r="B319" i="4" l="1"/>
  <c r="B51" i="3"/>
  <c r="B52" i="3" l="1"/>
  <c r="B327" i="4"/>
  <c r="B53" i="3" l="1"/>
  <c r="B332" i="4"/>
  <c r="B54" i="3" l="1"/>
  <c r="B337" i="4"/>
  <c r="B55" i="3" l="1"/>
  <c r="B342" i="4"/>
  <c r="B56" i="3" l="1"/>
  <c r="B352" i="4"/>
  <c r="B357" i="4" l="1"/>
  <c r="B57" i="3"/>
  <c r="B58" i="3" l="1"/>
  <c r="B362" i="4"/>
  <c r="B367" i="4" l="1"/>
  <c r="B59" i="3"/>
  <c r="B60" i="3" l="1"/>
  <c r="B377" i="4"/>
  <c r="B387" i="4" l="1"/>
  <c r="B61" i="3"/>
  <c r="B392" i="4" l="1"/>
  <c r="B62" i="3"/>
  <c r="B63" i="3" l="1"/>
  <c r="B64" i="3" s="1"/>
  <c r="B397" i="4"/>
  <c r="B65" i="3" l="1"/>
  <c r="B413" i="4"/>
  <c r="B402" i="4"/>
  <c r="B66" i="3" l="1"/>
  <c r="B417" i="4"/>
  <c r="B67" i="3"/>
  <c r="B425" i="4"/>
  <c r="B68" i="3" l="1"/>
  <c r="B430" i="4"/>
  <c r="B69" i="3" l="1"/>
  <c r="B435" i="4"/>
  <c r="B70" i="3" l="1"/>
  <c r="B443" i="4"/>
  <c r="B71" i="3" l="1"/>
  <c r="B451" i="4"/>
  <c r="B72" i="3" l="1"/>
  <c r="B73" i="3" s="1"/>
  <c r="B458" i="4"/>
  <c r="B74" i="3" l="1"/>
  <c r="B75" i="3" s="1"/>
  <c r="B470" i="4"/>
  <c r="B465" i="4"/>
  <c r="B76" i="3" l="1"/>
  <c r="B482" i="4"/>
  <c r="B477" i="4"/>
  <c r="B77" i="3" l="1"/>
  <c r="B487" i="4"/>
  <c r="B78" i="3" l="1"/>
  <c r="B492" i="4"/>
  <c r="B79" i="3" l="1"/>
  <c r="B497" i="4"/>
  <c r="B80" i="3" l="1"/>
  <c r="B83" i="3" s="1"/>
  <c r="B502" i="4"/>
  <c r="B507" i="4" l="1"/>
  <c r="B513" i="4" l="1"/>
  <c r="B84" i="3"/>
  <c r="B521" i="4" l="1"/>
  <c r="B85" i="3"/>
  <c r="B529" i="4" l="1"/>
  <c r="B86" i="3"/>
  <c r="B534" i="4" l="1"/>
  <c r="B87" i="3"/>
  <c r="B88" i="3" l="1"/>
  <c r="B541" i="4"/>
  <c r="B89" i="3" l="1"/>
  <c r="B549" i="4"/>
  <c r="B558" i="4" l="1"/>
  <c r="B90" i="3"/>
  <c r="B563" i="4" l="1"/>
  <c r="B91" i="3"/>
  <c r="B92" i="3" l="1"/>
  <c r="B573" i="4"/>
  <c r="B93" i="3" l="1"/>
  <c r="B578" i="4"/>
  <c r="B94" i="3" l="1"/>
  <c r="B585" i="4"/>
  <c r="B590" i="4" l="1"/>
  <c r="B95" i="3"/>
  <c r="B96" i="3" l="1"/>
  <c r="B595" i="4"/>
  <c r="B97" i="3" l="1"/>
  <c r="B600" i="4"/>
  <c r="B605" i="4" l="1"/>
  <c r="B100" i="3"/>
  <c r="B611" i="4" l="1"/>
  <c r="B101" i="3"/>
  <c r="B618" i="4" l="1"/>
  <c r="B102" i="3"/>
  <c r="B103" i="3" l="1"/>
  <c r="B628" i="4"/>
  <c r="B638" i="4" l="1"/>
  <c r="B104" i="3"/>
  <c r="B105" i="3" l="1"/>
  <c r="B643" i="4"/>
  <c r="B653" i="4" l="1"/>
  <c r="B106" i="3"/>
  <c r="B664" i="4" l="1"/>
  <c r="B107" i="3"/>
  <c r="B673" i="4" l="1"/>
  <c r="B108" i="3"/>
  <c r="B680" i="4" l="1"/>
  <c r="B111" i="3"/>
  <c r="B112" i="3" l="1"/>
  <c r="B690" i="4"/>
  <c r="G80" i="4"/>
  <c r="F77" i="4" s="1"/>
  <c r="F17" i="3" s="1"/>
  <c r="H17" i="3" s="1"/>
  <c r="H21" i="3" s="1"/>
  <c r="B113" i="3" l="1"/>
  <c r="B698" i="4"/>
  <c r="B116" i="3" l="1"/>
  <c r="B700" i="4"/>
  <c r="B117" i="3" l="1"/>
  <c r="B703" i="4"/>
  <c r="B714" i="4" l="1"/>
  <c r="B118" i="3"/>
  <c r="B119" i="3" l="1"/>
  <c r="B723" i="4"/>
  <c r="B731" i="4" l="1"/>
  <c r="B120" i="3"/>
  <c r="B748" i="4" l="1"/>
  <c r="B121" i="3"/>
  <c r="B753" i="4" l="1"/>
  <c r="B122" i="3"/>
  <c r="B123" i="3" l="1"/>
  <c r="B758" i="4"/>
  <c r="B124" i="3" l="1"/>
  <c r="B768" i="4"/>
  <c r="B777" i="4" l="1"/>
  <c r="B127" i="3"/>
  <c r="B128" i="3" l="1"/>
  <c r="B785" i="4"/>
  <c r="B129" i="3" l="1"/>
  <c r="B794" i="4"/>
  <c r="B804" i="4" l="1"/>
  <c r="B130" i="3"/>
  <c r="B131" i="3" l="1"/>
  <c r="B814" i="4"/>
  <c r="B819" i="4" l="1"/>
  <c r="B132" i="3"/>
  <c r="B843" i="4" l="1"/>
  <c r="B133" i="3"/>
  <c r="B866" i="4" l="1"/>
  <c r="B134" i="3"/>
  <c r="B871" i="4" l="1"/>
  <c r="B135" i="3"/>
  <c r="B136" i="3" l="1"/>
  <c r="B876" i="4"/>
  <c r="B137" i="3" l="1"/>
  <c r="B881" i="4"/>
  <c r="B886" i="4" l="1"/>
  <c r="B138" i="3"/>
  <c r="B891" i="4" l="1"/>
  <c r="B139" i="3"/>
  <c r="B896" i="4" l="1"/>
  <c r="B140" i="3"/>
  <c r="B141" i="3" l="1"/>
  <c r="B901" i="4"/>
  <c r="B142" i="3" l="1"/>
  <c r="B906" i="4"/>
  <c r="B911" i="4" l="1"/>
  <c r="B143" i="3"/>
  <c r="F1011" i="4"/>
  <c r="B144" i="3" l="1"/>
  <c r="B916" i="4"/>
  <c r="G1009" i="4"/>
  <c r="F1006" i="4" s="1"/>
  <c r="F161" i="3" s="1"/>
  <c r="H161" i="3" s="1"/>
  <c r="F162" i="3"/>
  <c r="H162" i="3" s="1"/>
  <c r="B921" i="4" l="1"/>
  <c r="B145" i="3"/>
  <c r="H174" i="3"/>
  <c r="B146" i="3" l="1"/>
  <c r="B926" i="4"/>
  <c r="B931" i="4" l="1"/>
  <c r="B147" i="3"/>
  <c r="B936" i="4" l="1"/>
  <c r="B148" i="3"/>
  <c r="B149" i="3" l="1"/>
  <c r="B941" i="4"/>
  <c r="B946" i="4" l="1"/>
  <c r="B150" i="3"/>
  <c r="B151" i="3" l="1"/>
  <c r="B951" i="4"/>
  <c r="B956" i="4" l="1"/>
  <c r="B152" i="3"/>
  <c r="B961" i="4" l="1"/>
  <c r="B153" i="3"/>
  <c r="B966" i="4" l="1"/>
  <c r="B154" i="3"/>
  <c r="B971" i="4" l="1"/>
  <c r="B155" i="3"/>
  <c r="B976" i="4" l="1"/>
  <c r="B156" i="3"/>
  <c r="B157" i="3" l="1"/>
  <c r="B981" i="4"/>
  <c r="B986" i="4" l="1"/>
  <c r="B158" i="3"/>
  <c r="B991" i="4" l="1"/>
  <c r="B159" i="3"/>
  <c r="B160" i="3" l="1"/>
  <c r="B996" i="4"/>
  <c r="B161" i="3" l="1"/>
  <c r="B1001" i="4"/>
  <c r="B162" i="3" l="1"/>
  <c r="B1006" i="4"/>
  <c r="B1011" i="4" l="1"/>
  <c r="B163" i="3"/>
  <c r="B164" i="3" l="1"/>
  <c r="B1016" i="4"/>
  <c r="B165" i="3" l="1"/>
  <c r="B1021" i="4"/>
  <c r="B166" i="3" l="1"/>
  <c r="B1026" i="4"/>
  <c r="B167" i="3" l="1"/>
  <c r="B1031" i="4"/>
  <c r="B168" i="3" l="1"/>
  <c r="B1036" i="4"/>
  <c r="B169" i="3" l="1"/>
  <c r="B1041" i="4"/>
  <c r="B170" i="3" l="1"/>
  <c r="B1046" i="4"/>
  <c r="B171" i="3" l="1"/>
  <c r="B1051" i="4"/>
  <c r="B172" i="3" l="1"/>
  <c r="B1056" i="4"/>
  <c r="B173" i="3" l="1"/>
  <c r="B1061" i="4"/>
  <c r="B176" i="3" l="1"/>
  <c r="B1066" i="4"/>
  <c r="B1072" i="4" l="1"/>
  <c r="B177" i="3"/>
  <c r="B178" i="3" l="1"/>
  <c r="B1077" i="4"/>
  <c r="B179" i="3" l="1"/>
  <c r="B1082" i="4"/>
  <c r="B1087" i="4" l="1"/>
  <c r="B180" i="3"/>
  <c r="B181" i="3" l="1"/>
  <c r="B1092" i="4"/>
  <c r="B182" i="3" l="1"/>
  <c r="B1097" i="4"/>
  <c r="B183" i="3" l="1"/>
  <c r="B1102" i="4"/>
  <c r="B1107" i="4" l="1"/>
  <c r="B184" i="3"/>
  <c r="B187" i="3" l="1"/>
  <c r="B1112" i="4"/>
  <c r="B188" i="3" l="1"/>
  <c r="B1118" i="4"/>
  <c r="B1123" i="4" l="1"/>
  <c r="B189" i="3"/>
  <c r="B190" i="3" l="1"/>
  <c r="B1128" i="4"/>
  <c r="B191" i="3" l="1"/>
  <c r="B1133" i="4"/>
  <c r="B1138" i="4" l="1"/>
  <c r="B192" i="3"/>
  <c r="B1143" i="4" l="1"/>
  <c r="B193" i="3"/>
  <c r="B1148" i="4" l="1"/>
  <c r="B194" i="3"/>
  <c r="B1153" i="4" l="1"/>
  <c r="B198" i="3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19" i="3" s="1"/>
  <c r="B220" i="3" s="1"/>
</calcChain>
</file>

<file path=xl/sharedStrings.xml><?xml version="1.0" encoding="utf-8"?>
<sst xmlns="http://schemas.openxmlformats.org/spreadsheetml/2006/main" count="1508" uniqueCount="697">
  <si>
    <t>ETAPA  A : Serviços Preliminares</t>
  </si>
  <si>
    <t>SEQ.</t>
  </si>
  <si>
    <t>ITEM</t>
  </si>
  <si>
    <t>ESPECIFICAÇÃO</t>
  </si>
  <si>
    <t>UNID</t>
  </si>
  <si>
    <t>QTDE</t>
  </si>
  <si>
    <t>PREÇO UNITARIO</t>
  </si>
  <si>
    <t>VALOR</t>
  </si>
  <si>
    <t>05.006.0001-1</t>
  </si>
  <si>
    <t>04.020.0122-0</t>
  </si>
  <si>
    <t>04.021.0010-0</t>
  </si>
  <si>
    <t>05.008.0001-0</t>
  </si>
  <si>
    <t>05.007.0007-0</t>
  </si>
  <si>
    <t>H</t>
  </si>
  <si>
    <t>03.001.0001-1</t>
  </si>
  <si>
    <t>03.013.0002-0</t>
  </si>
  <si>
    <t>04.014.0095-0</t>
  </si>
  <si>
    <t>11.004.0023-1</t>
  </si>
  <si>
    <t>11.009.0072-1</t>
  </si>
  <si>
    <t>13.301.0132-0</t>
  </si>
  <si>
    <t>CONTRAPISO,BASE   OU   CAMADA   REGULARIZADORA, EXECUTADA   COM   ARGAMASSA   DE   CIMENTO   E   AREIA, NOTRACO 1:4,NA ESPESSURA DE 5CM</t>
  </si>
  <si>
    <t>11.009.0060-1</t>
  </si>
  <si>
    <t>13.348.0075-0</t>
  </si>
  <si>
    <t>16.020.0002-0</t>
  </si>
  <si>
    <t>13.301.0117-0</t>
  </si>
  <si>
    <t>13.301.0125-1</t>
  </si>
  <si>
    <t>15.004.0220-0</t>
  </si>
  <si>
    <t>15.036.0053-0</t>
  </si>
  <si>
    <t>13.330.0033-0</t>
  </si>
  <si>
    <t>Total</t>
  </si>
  <si>
    <t>Quadra</t>
  </si>
  <si>
    <t>Entrada</t>
  </si>
  <si>
    <t>Guarda Instrumentos</t>
  </si>
  <si>
    <t>Corredor lateral externo</t>
  </si>
  <si>
    <t>Banheiro PNE</t>
  </si>
  <si>
    <t>Pintura de piso</t>
  </si>
  <si>
    <t>Aula 07</t>
  </si>
  <si>
    <t>Sala Controle de Som</t>
  </si>
  <si>
    <t>Aula 08</t>
  </si>
  <si>
    <t>Circulação (corredor)</t>
  </si>
  <si>
    <t>Depósito</t>
  </si>
  <si>
    <t>Passarela</t>
  </si>
  <si>
    <t>m</t>
  </si>
  <si>
    <t>m²</t>
  </si>
  <si>
    <t>m³</t>
  </si>
  <si>
    <t>unid</t>
  </si>
  <si>
    <t>Aula 13</t>
  </si>
  <si>
    <t>Subtotal A</t>
  </si>
  <si>
    <t>Subtotal B</t>
  </si>
  <si>
    <t>Subtotal C</t>
  </si>
  <si>
    <t>ETAPA  B : Demolições</t>
  </si>
  <si>
    <t>Etapa B</t>
  </si>
  <si>
    <t>05.001.0025-0</t>
  </si>
  <si>
    <t>Demolição Bloco Concreto</t>
  </si>
  <si>
    <t>Espessura</t>
  </si>
  <si>
    <t>Altura</t>
  </si>
  <si>
    <t>Muro Externo</t>
  </si>
  <si>
    <t>M. Interno (A. ent)</t>
  </si>
  <si>
    <t>M. Interno (A. mang)</t>
  </si>
  <si>
    <t>Demolição de Piso</t>
  </si>
  <si>
    <t>05.001.0015-0</t>
  </si>
  <si>
    <t>Comprimento</t>
  </si>
  <si>
    <t>Largura</t>
  </si>
  <si>
    <t>Percentual</t>
  </si>
  <si>
    <t>Bº PNE</t>
  </si>
  <si>
    <t>Pátio Prest. Serv</t>
  </si>
  <si>
    <t>Pátio Plublico</t>
  </si>
  <si>
    <t>Remoção de janela</t>
  </si>
  <si>
    <t>Quantidade</t>
  </si>
  <si>
    <t>Recep / Entrada</t>
  </si>
  <si>
    <t>Remoção de porta</t>
  </si>
  <si>
    <t>Hall Escada</t>
  </si>
  <si>
    <t>Remoção piso vinílico</t>
  </si>
  <si>
    <t>05.001.0073-0</t>
  </si>
  <si>
    <t>C. Lat Externo</t>
  </si>
  <si>
    <t>97644 (SINAPI)</t>
  </si>
  <si>
    <t>97645 (SINAPI)</t>
  </si>
  <si>
    <t>Remoção de azulejo</t>
  </si>
  <si>
    <t>05.001.0021-0</t>
  </si>
  <si>
    <t>Baia Corredor Lat.</t>
  </si>
  <si>
    <t>Cozinha</t>
  </si>
  <si>
    <t>Bº Feminino</t>
  </si>
  <si>
    <t>Remoção cobertura, telha e madeiramento</t>
  </si>
  <si>
    <t>05.001.0041-0</t>
  </si>
  <si>
    <t>Circ. Baias (aulas 9 a 12)</t>
  </si>
  <si>
    <t>05.001.0023-0</t>
  </si>
  <si>
    <t>Demolição de alvenaria de tijolo</t>
  </si>
  <si>
    <t>Bº Masc</t>
  </si>
  <si>
    <t>Adm (2ºpiso) Anexo</t>
  </si>
  <si>
    <t>Prédio principal</t>
  </si>
  <si>
    <t>Prédio anexo</t>
  </si>
  <si>
    <t>Corredor lateral</t>
  </si>
  <si>
    <t>Pátio Público</t>
  </si>
  <si>
    <t>98528 (SINAPI)</t>
  </si>
  <si>
    <t>Destocamento de raiz</t>
  </si>
  <si>
    <t>ETAPA  C : Transportes e bota fora</t>
  </si>
  <si>
    <t>Etapa C</t>
  </si>
  <si>
    <t>Caçamba 5m³, com royalties</t>
  </si>
  <si>
    <t>05.001.0171-0</t>
  </si>
  <si>
    <t>Transporte horizontal</t>
  </si>
  <si>
    <t>Esp</t>
  </si>
  <si>
    <t>Item 13</t>
  </si>
  <si>
    <t>Vol. Unid</t>
  </si>
  <si>
    <t>Unid</t>
  </si>
  <si>
    <t>Tx Empolamento</t>
  </si>
  <si>
    <t>97643 (SINAPI)</t>
  </si>
  <si>
    <t>Remoção de piso de madeira</t>
  </si>
  <si>
    <t>Aula comunitária</t>
  </si>
  <si>
    <t>ETAPA  D : Construção</t>
  </si>
  <si>
    <t>Subtotal D</t>
  </si>
  <si>
    <t>12.016.0018-0</t>
  </si>
  <si>
    <t>Drywall com lã de rocha</t>
  </si>
  <si>
    <t>Etapa D</t>
  </si>
  <si>
    <t>Perímetro</t>
  </si>
  <si>
    <t>Aulas 05 e 06</t>
  </si>
  <si>
    <t>Aulas 09, 10, 11 e 12</t>
  </si>
  <si>
    <t>Alvenaria de tijolo cerâmico</t>
  </si>
  <si>
    <t>12.003.0190-0</t>
  </si>
  <si>
    <t>Corredor Lat. Externo</t>
  </si>
  <si>
    <t>Aula 08 (-1,47m² vão porta)</t>
  </si>
  <si>
    <t>Ciculação (Corredor)</t>
  </si>
  <si>
    <t>12.005.0090-0</t>
  </si>
  <si>
    <t>Alvenaria de bloco de concreto</t>
  </si>
  <si>
    <t>Pátio concreto, 15cm, exclusive prep. Terreno</t>
  </si>
  <si>
    <t>13.370.0025-0</t>
  </si>
  <si>
    <t>Entrada 01</t>
  </si>
  <si>
    <t>Entrada 02</t>
  </si>
  <si>
    <t>Entrada 03</t>
  </si>
  <si>
    <t>Rampa Corredor Lat. Externo</t>
  </si>
  <si>
    <t>Rampa Entrada</t>
  </si>
  <si>
    <t>Pátio Prestadores de serviço</t>
  </si>
  <si>
    <t>ETAPA  E : Esquadrias</t>
  </si>
  <si>
    <t>Subtotal E</t>
  </si>
  <si>
    <t>Porta acustica de 70cm</t>
  </si>
  <si>
    <t>Porta acustica de 90cm</t>
  </si>
  <si>
    <t>Etapa E</t>
  </si>
  <si>
    <t>90841 (SINAPI)</t>
  </si>
  <si>
    <t>90842 (SINAPI)</t>
  </si>
  <si>
    <t>90843 (SINAPI)</t>
  </si>
  <si>
    <t>90844 (SINAPI)</t>
  </si>
  <si>
    <t>Kit porta pronta madeira 60cm</t>
  </si>
  <si>
    <t>Kit porta pronta madeira 70cm</t>
  </si>
  <si>
    <t>Kit porta pronta madeira 80cm</t>
  </si>
  <si>
    <t>Kit porta pronta madeira 90cm</t>
  </si>
  <si>
    <t>Corredor Lat. Esquerdo</t>
  </si>
  <si>
    <t>Aulas 09 a 12</t>
  </si>
  <si>
    <t>Bº Masculino</t>
  </si>
  <si>
    <t>Subtotal F</t>
  </si>
  <si>
    <t>ETAPA  F : Telhado</t>
  </si>
  <si>
    <t>ETAPA  G : Impermeabilização</t>
  </si>
  <si>
    <t>Calha telhado</t>
  </si>
  <si>
    <t>Calha Platibanda</t>
  </si>
  <si>
    <t>Etapa F</t>
  </si>
  <si>
    <t>Etapa G</t>
  </si>
  <si>
    <t>Calha Telhado</t>
  </si>
  <si>
    <t>Calha Prédio Principal Peq</t>
  </si>
  <si>
    <t>Contrapiso ou base 1cm (Proteção mecânica)</t>
  </si>
  <si>
    <t>Contrapiso ou base 3cm (emboço)</t>
  </si>
  <si>
    <t>Subtotal G</t>
  </si>
  <si>
    <t>Subtotal H</t>
  </si>
  <si>
    <t>Item 23</t>
  </si>
  <si>
    <t>Lados</t>
  </si>
  <si>
    <t>Qtde Item</t>
  </si>
  <si>
    <t>Item 24</t>
  </si>
  <si>
    <t>Estimativa recuperações</t>
  </si>
  <si>
    <t>ETAPA  I : Instalações Elétricas, Hidraulicas, Esgotamento e Infraestrutura de Ar Condicionado</t>
  </si>
  <si>
    <t>15.005.0255-0</t>
  </si>
  <si>
    <t>Infraestrutura Ar Condicionado</t>
  </si>
  <si>
    <t>15.036.0037-0</t>
  </si>
  <si>
    <t>15.045.0110-0</t>
  </si>
  <si>
    <t>Abertura e fechamento manual de parede (passagem tubos)</t>
  </si>
  <si>
    <t>Etapa H</t>
  </si>
  <si>
    <t>Etapa I</t>
  </si>
  <si>
    <t>Comprimento Médio</t>
  </si>
  <si>
    <t>Qtde</t>
  </si>
  <si>
    <t>1º Pav. Prédio Principal</t>
  </si>
  <si>
    <t>2º Pav. Prédio Principal</t>
  </si>
  <si>
    <t>2º Pav. Prédio Anexo</t>
  </si>
  <si>
    <t>15.015.0214-0</t>
  </si>
  <si>
    <t>Instalação aparente ponto de ventilador de teto</t>
  </si>
  <si>
    <t>Copa/Cantina</t>
  </si>
  <si>
    <t>15.015.0051-0</t>
  </si>
  <si>
    <t>Instalação de 3 pontos de luz</t>
  </si>
  <si>
    <t>Recepção/Espera + Aulas</t>
  </si>
  <si>
    <t>Aula 05 a 08</t>
  </si>
  <si>
    <t>Sala Controle Som</t>
  </si>
  <si>
    <t>Aulas 09 a 12 e Circulação</t>
  </si>
  <si>
    <t>Bº Adm (2ºpiso) Anexo</t>
  </si>
  <si>
    <t>15.015.0256-0</t>
  </si>
  <si>
    <t>Instalação de ponto de tomada</t>
  </si>
  <si>
    <t>Locaçao de andaime</t>
  </si>
  <si>
    <t>Transporte de andaime</t>
  </si>
  <si>
    <t>Carga e descarga de andaime</t>
  </si>
  <si>
    <t>Montagem e desmontagem de andaime</t>
  </si>
  <si>
    <t xml:space="preserve">Passarela metálica para andaime </t>
  </si>
  <si>
    <t>m² x mês</t>
  </si>
  <si>
    <t>m² x km</t>
  </si>
  <si>
    <t>Área</t>
  </si>
  <si>
    <t>Mês</t>
  </si>
  <si>
    <t>km</t>
  </si>
  <si>
    <t>Largura da passarela</t>
  </si>
  <si>
    <t>17.017.0350-0</t>
  </si>
  <si>
    <t>Etapa A</t>
  </si>
  <si>
    <t>Portão corredor lateral</t>
  </si>
  <si>
    <t>Portão entrada</t>
  </si>
  <si>
    <t>17.018.0190-0</t>
  </si>
  <si>
    <t>Pintura de azulejo</t>
  </si>
  <si>
    <t>102492 (SINAPI)</t>
  </si>
  <si>
    <t>88489 (SINAPI)</t>
  </si>
  <si>
    <t>88496 (SINAPI)</t>
  </si>
  <si>
    <t>Pintura parede e teto (Trocar de tinta Latex para acrílica)</t>
  </si>
  <si>
    <t>Massa parede e teto (Trocar de tinta Latex para acrílica)</t>
  </si>
  <si>
    <t>88485 (SINAPI)</t>
  </si>
  <si>
    <t>Selador acrílico (Trocar de tinta Latex para acrílica)</t>
  </si>
  <si>
    <t>Paredes 1ºPav P. Principal Interno</t>
  </si>
  <si>
    <t>Paredes 2ºPav P. Principal Interno</t>
  </si>
  <si>
    <t>Paredes 2ºPav P. Anexo Interno</t>
  </si>
  <si>
    <t>Teto 1ºPav P. Principal</t>
  </si>
  <si>
    <t>Teto 2ºPav P. Principal</t>
  </si>
  <si>
    <t>Teto 1ºPav P. Anexo</t>
  </si>
  <si>
    <t>Teto 2ºPav P. Anexo</t>
  </si>
  <si>
    <t>Bº Anexo</t>
  </si>
  <si>
    <t>Paredes 2ºPav P. Principal e Anexo Externo</t>
  </si>
  <si>
    <t>Paredes 1ºPav P. Principal e Anexo Externo</t>
  </si>
  <si>
    <t>17.017.0169-0</t>
  </si>
  <si>
    <t>Pintura de porta</t>
  </si>
  <si>
    <t>11.016.0005-0</t>
  </si>
  <si>
    <t>16.005.0007-0</t>
  </si>
  <si>
    <t>Assentamento de soleiras</t>
  </si>
  <si>
    <t>Soleira em granito</t>
  </si>
  <si>
    <t>1º Pav. P. Principal</t>
  </si>
  <si>
    <t>16.005.0018-0</t>
  </si>
  <si>
    <t xml:space="preserve">Prédio Principal </t>
  </si>
  <si>
    <t>16.005.0015-0</t>
  </si>
  <si>
    <t>Calha galvalume - Desenv 1m</t>
  </si>
  <si>
    <t>Calha galvalume - Desenv 0,5m</t>
  </si>
  <si>
    <t>101879 (SINAPI)</t>
  </si>
  <si>
    <t>39763 (SINAPI)</t>
  </si>
  <si>
    <t>Quadro elétrico de distribuição 24 disj - Checar Item</t>
  </si>
  <si>
    <t>Quadro elétrico de distribuição 48 disj - Checar Item</t>
  </si>
  <si>
    <t>15.007.0605-0</t>
  </si>
  <si>
    <t>Disjuntor Tripolar de 80 a 100A</t>
  </si>
  <si>
    <t>93655 (SINAPI)</t>
  </si>
  <si>
    <t>Disjuntor monopolar 20A</t>
  </si>
  <si>
    <t>93663 (SINAPI)</t>
  </si>
  <si>
    <t>Disjuntor bipolar 25A</t>
  </si>
  <si>
    <t>15.018.0325-0</t>
  </si>
  <si>
    <t>Caixa de passagem 40x40cm de embutir</t>
  </si>
  <si>
    <t>15.008.0085-0</t>
  </si>
  <si>
    <t>Fio 2,5mm</t>
  </si>
  <si>
    <t>15.008.0090-0</t>
  </si>
  <si>
    <t>Fio 4,0mm</t>
  </si>
  <si>
    <t>15.008.0110-0</t>
  </si>
  <si>
    <t>Fio 25mm</t>
  </si>
  <si>
    <t>ETAPA  J : Administração</t>
  </si>
  <si>
    <t>05.005.0050-0</t>
  </si>
  <si>
    <t>Tela de proteção de fachada</t>
  </si>
  <si>
    <t>Item 1</t>
  </si>
  <si>
    <t>37526 (SINAPI)</t>
  </si>
  <si>
    <t>Saco de ráfia</t>
  </si>
  <si>
    <t>Para transporte de entulho</t>
  </si>
  <si>
    <t>Tubo PVC de queda 150mm</t>
  </si>
  <si>
    <t>Corredor Lateral externo</t>
  </si>
  <si>
    <t>Tubo PVC 150mm - ligação com a rede</t>
  </si>
  <si>
    <t>02.020.0001-0</t>
  </si>
  <si>
    <t>Placa de obra</t>
  </si>
  <si>
    <t>Etapa J</t>
  </si>
  <si>
    <t>mês</t>
  </si>
  <si>
    <t>05.105.0129-0</t>
  </si>
  <si>
    <t>Mestre de obras</t>
  </si>
  <si>
    <t>05.105.0127-0</t>
  </si>
  <si>
    <t>Encarregado</t>
  </si>
  <si>
    <t>Eng. Pleno</t>
  </si>
  <si>
    <t xml:space="preserve">Mestre </t>
  </si>
  <si>
    <t>05.105.0122-0</t>
  </si>
  <si>
    <t>Almoxarife</t>
  </si>
  <si>
    <t>05.105.0121-0</t>
  </si>
  <si>
    <t>Apontador</t>
  </si>
  <si>
    <t>Amoxarife</t>
  </si>
  <si>
    <t>14.002.0220-0</t>
  </si>
  <si>
    <t>Corrimão escada</t>
  </si>
  <si>
    <t>Escada acesso ao prédio anexo</t>
  </si>
  <si>
    <t>Subtotal I</t>
  </si>
  <si>
    <t>Subtotal J</t>
  </si>
  <si>
    <t>19.011.0016-2</t>
  </si>
  <si>
    <t>Talha manual</t>
  </si>
  <si>
    <t>Descida de entulho e subida de material</t>
  </si>
  <si>
    <t>Dias</t>
  </si>
  <si>
    <t>Horas</t>
  </si>
  <si>
    <t>05.105.0114-0</t>
  </si>
  <si>
    <t>Servente</t>
  </si>
  <si>
    <t>14.002.0102-0</t>
  </si>
  <si>
    <t>Portão de correr metálico</t>
  </si>
  <si>
    <t>Quadra 01</t>
  </si>
  <si>
    <t>Patio Publico</t>
  </si>
  <si>
    <t>05.001.0145-0</t>
  </si>
  <si>
    <t>Arrancamento de aparelho sanitário</t>
  </si>
  <si>
    <t>05.001.0146-0</t>
  </si>
  <si>
    <t xml:space="preserve">Arrancamento de pia </t>
  </si>
  <si>
    <t>1º Pav Predio Principal</t>
  </si>
  <si>
    <t>2º Pav Predio Principal</t>
  </si>
  <si>
    <t>2º Pav Predio Anexo</t>
  </si>
  <si>
    <t>1º Pav Predio Anexo</t>
  </si>
  <si>
    <t>15.004.0126-0</t>
  </si>
  <si>
    <t>18.002.0090-0</t>
  </si>
  <si>
    <t>18.002.0070-0</t>
  </si>
  <si>
    <t>18.002.0055-0</t>
  </si>
  <si>
    <t>15.004.0050-0</t>
  </si>
  <si>
    <t>Inst. E assentamento vaso sanitário conj de 2 ou mais pav elevado</t>
  </si>
  <si>
    <t>15.004.0110-0</t>
  </si>
  <si>
    <t>Inst. E assentamento vaso sanitário pav térreo</t>
  </si>
  <si>
    <t>Inst. Mictório</t>
  </si>
  <si>
    <t>15.004.0104-0</t>
  </si>
  <si>
    <t>Inst. E assentamento vaso sanitário pav elevado</t>
  </si>
  <si>
    <t>Vaso sanitário PNE</t>
  </si>
  <si>
    <t>Vaso sanitário comum</t>
  </si>
  <si>
    <t>Mictorório</t>
  </si>
  <si>
    <t>86919 (SINAPI)</t>
  </si>
  <si>
    <t>Tanque de louça brancoo</t>
  </si>
  <si>
    <t>18.0216.0027-0</t>
  </si>
  <si>
    <t>Tanque inox</t>
  </si>
  <si>
    <t>18.0002.0014-0</t>
  </si>
  <si>
    <t>18.0002.0027-0</t>
  </si>
  <si>
    <t>1750 (SINAPI)</t>
  </si>
  <si>
    <t>Lavatório de louça branca de imbutir</t>
  </si>
  <si>
    <t>Lavatório PNE</t>
  </si>
  <si>
    <t>Bancada de aço com duas cubas - Cozinha</t>
  </si>
  <si>
    <t>86889 (SINAPI)</t>
  </si>
  <si>
    <t>Bancada de granito</t>
  </si>
  <si>
    <t>18.084.0020-0</t>
  </si>
  <si>
    <t>Banca seca de granito</t>
  </si>
  <si>
    <t>86910 (SINAPI)</t>
  </si>
  <si>
    <t>Torneira cozinha</t>
  </si>
  <si>
    <t>Prédio Principal</t>
  </si>
  <si>
    <t>Prédio Anexo</t>
  </si>
  <si>
    <t>05.105.0112-0</t>
  </si>
  <si>
    <t>Eletricista</t>
  </si>
  <si>
    <t>05.105.0110-0</t>
  </si>
  <si>
    <t>Bombeiro Hidráulico</t>
  </si>
  <si>
    <t>Qtd</t>
  </si>
  <si>
    <t>Tapume com telha metálica</t>
  </si>
  <si>
    <t>Remoção de tapume com telha metálica</t>
  </si>
  <si>
    <t>Lona de polietileno (lona de terreiro)</t>
  </si>
  <si>
    <t>Quadra (rua)</t>
  </si>
  <si>
    <t>Em rolo de 4mx50m ou 4mx100m</t>
  </si>
  <si>
    <t>05.058.0011-0</t>
  </si>
  <si>
    <t>Lona tipo leve para proteção de telhados</t>
  </si>
  <si>
    <t>ET 05.55.0050 (/)</t>
  </si>
  <si>
    <t>Lona de polietileno (lona terreiro) para impermeabilizacao de solo</t>
  </si>
  <si>
    <t>m2</t>
  </si>
  <si>
    <t>Execução e compactação de base de pedra rachão</t>
  </si>
  <si>
    <t>04.005.0141-0</t>
  </si>
  <si>
    <t>Transporte de carga de qualquer naturez (Rachão)</t>
  </si>
  <si>
    <t>04.018.0010-0</t>
  </si>
  <si>
    <t>Recebimento de carga de caminhão basculante</t>
  </si>
  <si>
    <t>T</t>
  </si>
  <si>
    <t>04.010.0046-0</t>
  </si>
  <si>
    <t>Carga e descarga mecânica de agregados</t>
  </si>
  <si>
    <t>Peso específico (T/m³)</t>
  </si>
  <si>
    <t>Volume</t>
  </si>
  <si>
    <t>KM</t>
  </si>
  <si>
    <t>Rachão para bases</t>
  </si>
  <si>
    <t>Peso rachão</t>
  </si>
  <si>
    <t>58.002.0315-1</t>
  </si>
  <si>
    <t>Base de brita corrida medida após compactação</t>
  </si>
  <si>
    <t>01.005.0004-0</t>
  </si>
  <si>
    <t>Preparo manual de terreno até 30cm</t>
  </si>
  <si>
    <t>11.016.0100-0</t>
  </si>
  <si>
    <t>Passarrela - Estrutura metálica</t>
  </si>
  <si>
    <t>Kg</t>
  </si>
  <si>
    <t>Peso estrutura metálica passarela (incluindo gaurda corpo)</t>
  </si>
  <si>
    <t>18.027.0045-0</t>
  </si>
  <si>
    <t>Luminária de emergência de sobrepor</t>
  </si>
  <si>
    <t>Revestimento cerâmico para piso</t>
  </si>
  <si>
    <t>RV 10.10.0050 (/)</t>
  </si>
  <si>
    <t>Revestimentos de azulejos brancos</t>
  </si>
  <si>
    <t>Item 18</t>
  </si>
  <si>
    <t>Item 19</t>
  </si>
  <si>
    <t>Item 20</t>
  </si>
  <si>
    <t>Item 21</t>
  </si>
  <si>
    <t>Item 22</t>
  </si>
  <si>
    <t>Item 25</t>
  </si>
  <si>
    <t>Item 26</t>
  </si>
  <si>
    <t>ETAPA  H : Pintura e tratamento de superfícies</t>
  </si>
  <si>
    <t>05.001.0365-0</t>
  </si>
  <si>
    <t>Limpeza de pisos ceramicos</t>
  </si>
  <si>
    <t>Banheiro feminino</t>
  </si>
  <si>
    <t>Banheiro masculino</t>
  </si>
  <si>
    <t>Cozinha/Copa</t>
  </si>
  <si>
    <t>Anexo superior</t>
  </si>
  <si>
    <t>05.001.0147-0</t>
  </si>
  <si>
    <t>ARRANCAMENTO DE GRADES,GRADIS,ALAMBRADOS,CERCAS E PORTOES</t>
  </si>
  <si>
    <t>Grades quadra</t>
  </si>
  <si>
    <t>Grades janelas</t>
  </si>
  <si>
    <t>Portões quadra</t>
  </si>
  <si>
    <t>Tela quadra</t>
  </si>
  <si>
    <t>05.002.0065-0</t>
  </si>
  <si>
    <t>DEMOLICAO E REMOCAO DE ESTRUTURAS METALICAS</t>
  </si>
  <si>
    <t>Balizas</t>
  </si>
  <si>
    <t>Tabelas de basquete</t>
  </si>
  <si>
    <t>Peso médio</t>
  </si>
  <si>
    <t>SC 05.05.1750 (/)</t>
  </si>
  <si>
    <t>Remocao de armarios, balcoes construidos com compensado de madeira</t>
  </si>
  <si>
    <t>TELA PARA ESTRUTURA DE CONCRETO ARMADO</t>
  </si>
  <si>
    <t>15.004.0505-0</t>
  </si>
  <si>
    <t>CALHA DE PISO NORMAL,EM PVC</t>
  </si>
  <si>
    <t>15.004.0620-0</t>
  </si>
  <si>
    <t>GRELHA PARA CALHA DE PISO (0,5m)</t>
  </si>
  <si>
    <t>Total de calha em M x 2</t>
  </si>
  <si>
    <t>CHAPIM SOBRE MUROS LINEARES, EM GRANITO</t>
  </si>
  <si>
    <t>16.005.0050-0</t>
  </si>
  <si>
    <t>RUFO EM GALVALUME</t>
  </si>
  <si>
    <t>ETAPA  K : Incêndio</t>
  </si>
  <si>
    <t>Etapa K</t>
  </si>
  <si>
    <t>18.033.0018-0</t>
  </si>
  <si>
    <t>SISTEMA DE PRESSURIZACAO,COM 02 BOMBAS CENTRIFUGAS DE 5CV/220V,INCLUSIVE TUBULACOES DE SUCCAO,RECALQUE E DISTRIBUICAO COM CONEXOES,PRESSOSTATO,MANOMETRO,TANQUE DE PRESSAO,QUADRO DECOMANDO,EXCLUSIVE CASA DE MAQUINAS (VIDE ITEM 18.024.0050).FORNECIMENTO E INSTALACAO</t>
  </si>
  <si>
    <t>18.024.0050-0</t>
  </si>
  <si>
    <t>CASA DE MAQUINA DE INCENDIO</t>
  </si>
  <si>
    <t>ABRIGO PARA HIDRANTE, 75X45X17CM, COM REGISTRO GLOBO ANGULAR 45 GRAUS 2 1/2", ADAPTADOR STORZ 2 1/2", MANGUEIRA DE INCÊNDIO 15M 2 1/2" E ESGUICHO EM LATÃO 2 1/2" - FORNECIMENTO E INSTALAÇÃO. AF_10/2020</t>
  </si>
  <si>
    <t>17.040.0050-0</t>
  </si>
  <si>
    <t>PINTURA DE SINALIZACAO DE SOLO PARA EQUIPAMENTOS DE COMBATE A INCENDIO</t>
  </si>
  <si>
    <t>18.032.0045-0</t>
  </si>
  <si>
    <t>SUPORTE DE SOLO PARA EXTINTOR DE INCENDIO PORTATIL</t>
  </si>
  <si>
    <t>EXTINTOR DE INCÊNDIO PORTÁTIL COM CARGA DE ÁGUA PRESSURIZADA DE 10 L</t>
  </si>
  <si>
    <t>EXTINTOR DE INCÊNDIO PORTÁTIL COM CARGA DE CO2 DE 4 KG</t>
  </si>
  <si>
    <t>Item 27</t>
  </si>
  <si>
    <t>Item 28</t>
  </si>
  <si>
    <t>Item 29</t>
  </si>
  <si>
    <t>Item 30</t>
  </si>
  <si>
    <t>Item 31</t>
  </si>
  <si>
    <t>7800 Kg / m³</t>
  </si>
  <si>
    <t>13.001.0031-0</t>
  </si>
  <si>
    <t>Emboço de parede 2,5cm</t>
  </si>
  <si>
    <t>Cobertura entrada</t>
  </si>
  <si>
    <t>Escavação manual de vala</t>
  </si>
  <si>
    <t>Sapatas</t>
  </si>
  <si>
    <t>Reaterro de vala</t>
  </si>
  <si>
    <t>FORMAS  DE  MADEIRA  DE  3ª  PARA  MOLDAGEM  DE  PECAS  DE  CONCRETO  ARMADO</t>
  </si>
  <si>
    <t>BARRA   DE   ACO   CA-50</t>
  </si>
  <si>
    <t>FIO  DE  ACO  CA-60</t>
  </si>
  <si>
    <t>Kg / m</t>
  </si>
  <si>
    <t>kg / m</t>
  </si>
  <si>
    <t>Sapatas (base e topo)</t>
  </si>
  <si>
    <t>Pintura de elementos de ferro</t>
  </si>
  <si>
    <t>Corrimão</t>
  </si>
  <si>
    <t>Grades de portas e janelas existentes</t>
  </si>
  <si>
    <t>Grade entrada</t>
  </si>
  <si>
    <t>18.027.0470-0</t>
  </si>
  <si>
    <t>LUMINARIA DE SOBREPOR, FIXADA EM LAJE OU FORRO, TIPO CALHA, CHANFRADA OU PRISMATICA, COMPLETA, COM LAMPADA LED TUBULAR DE 1 X 9W. FORNECIMENTO E COLOCACAO</t>
  </si>
  <si>
    <t xml:space="preserve"> </t>
  </si>
  <si>
    <t>nº luminárias</t>
  </si>
  <si>
    <t>Qtd de pontos de luz x 3</t>
  </si>
  <si>
    <t>Qtd pontos de luz</t>
  </si>
  <si>
    <t>18.007.0049-0</t>
  </si>
  <si>
    <t>CHUVEIRO ELETRICO,EM PLASTICO,DE 110/220V.FORNECIMENTO</t>
  </si>
  <si>
    <t>15.004.0046-0</t>
  </si>
  <si>
    <t xml:space="preserve">INSTALACAO E ASSENTAMENTO DE CHUVEIRO ELETRICO </t>
  </si>
  <si>
    <t>Banheiros masculino e feminino</t>
  </si>
  <si>
    <t>Quantidade de chuveiros</t>
  </si>
  <si>
    <t>ES 15.05.0150 (/)</t>
  </si>
  <si>
    <t>Porta de aluminio anodizado natural, perfil serie 25, em veneziana. Fornecimento e instalacao.</t>
  </si>
  <si>
    <t>Janelas fixas (JA1)</t>
  </si>
  <si>
    <t>m² por unid</t>
  </si>
  <si>
    <t>15.004.0090-0</t>
  </si>
  <si>
    <t>INSTALACAO E COLOCACAO DE TORNEIRA PARA JARDIM OU DE LAVAGEM</t>
  </si>
  <si>
    <t>18.009.0079-0</t>
  </si>
  <si>
    <t>TORNEIRA PARA JARDIM,DE 1/2"</t>
  </si>
  <si>
    <t>Quantidade de torneiras</t>
  </si>
  <si>
    <t>Entrada e pátios</t>
  </si>
  <si>
    <t>Quadra (muro externo)</t>
  </si>
  <si>
    <t>Depósito entrada</t>
  </si>
  <si>
    <t>Depósito hall</t>
  </si>
  <si>
    <t>Depósito Hall</t>
  </si>
  <si>
    <t>01.050.0023-0</t>
  </si>
  <si>
    <t>PROJETO EXECUTIVO DE ARQUITETURA PARA PREDIOS CULTURAIS DE 501 ATE 3.000M2</t>
  </si>
  <si>
    <t>01.050.0053-0</t>
  </si>
  <si>
    <t>01.050.0116-0</t>
  </si>
  <si>
    <t>PROJETO EXECUTIVO DE INSTALACAO DE INCENDIO E SPDA PARA PREDIOS CULTURAIS ACIMA DE 500M2</t>
  </si>
  <si>
    <t>PROJETO EXECUTIVO DE INSTALACAO ELETRICA PARA PREDIOS CULTURAIS ATE 3.000M2</t>
  </si>
  <si>
    <t>1º pav.</t>
  </si>
  <si>
    <t>2º pav.</t>
  </si>
  <si>
    <t>Área projeto</t>
  </si>
  <si>
    <t>1º pavimento</t>
  </si>
  <si>
    <t>2º pavimento</t>
  </si>
  <si>
    <t>05.040.0870-0</t>
  </si>
  <si>
    <t>RASPAGEM,CALAFETACAO E ENCERAMENTO DE PISO DE TACOS COMUNS OU SOALHO DE MADEIRA,COM UMA DEMAO DE CERA</t>
  </si>
  <si>
    <t>1º Pavimento</t>
  </si>
  <si>
    <t>01.050.0325-0</t>
  </si>
  <si>
    <t>SERVICOS DE ELABORACAO DE VISTORIAS,LAUDOS TECNICOS,PARA EXECUCAO DE RECUPERACAO ESTRUTURAL DE PREDIOS PUBLICOS,COM AREAS DE PROJECAO HORIZONTAL ATE 1000M2</t>
  </si>
  <si>
    <t>Área quadra</t>
  </si>
  <si>
    <t>14.004.0100-0</t>
  </si>
  <si>
    <t>ESPELHO DE CRISTAL,4MM DE ESPESSURA.COM MOLDURA DE MADEIRA.FORNECIMENTO E COLOCACAO</t>
  </si>
  <si>
    <t>Banheiros PNE, masculino, feminino e prédio anexo</t>
  </si>
  <si>
    <t>Janela fixa (JAL3)</t>
  </si>
  <si>
    <t>13.390.0042-0</t>
  </si>
  <si>
    <t>PISO VINILICO EM MANTAS,COM 2M DE LARGURA X 23M DE COMPRIMENTO,HETEROGENEO,COM 3MM DE ESPESSURA,REFORCO EM POLIURETANO ULTRA RESISTENTE (PUR),PARA ALTO TRAFEGO,ASSENTE SOBRE BASE EXISTENTE,CONFORME ABNT NBR 14917.FORNECIMENTO E COLOCACAO</t>
  </si>
  <si>
    <t>19.010.0040-2</t>
  </si>
  <si>
    <t>CUSTO HORARIO CORRIDO DE UTILIZACAO DE EQUIPAMENTOS HIDROJATO CONJUGADO COM SUCCAO ATRAVES DE VACUO,COMPRESSOR ACIONADO POR TOMADA DE FORCA TIPO ROTATIVO E COM JOGO DE MANGUEIRAS PARA CAPTACAO DE 6" E 8",ESTA ATRAVES DE BRACO ROTATIVO,TANQUE DE ARMAZENAMENTO DE 12.000L,INCLUSIVE EQUIPE DE OPERACAO</t>
  </si>
  <si>
    <t>Hidrojato</t>
  </si>
  <si>
    <t>18.027.0097-0</t>
  </si>
  <si>
    <t>LUMINARIA FECHADA (REFLETOR),PARA ILUMINACAO DE QUADRAS DE ESPORTES E AFINS,PARA LAMPADA LED DE 100W,INCLUSIVE ESTA.FORNECIMENTO E COLOCACAO</t>
  </si>
  <si>
    <t>RESERVATORIO METALICO PARA AGUA POTAVELESTILO TACA AGUA TOTAL, COM CAPACIDADE PARA 50M3</t>
  </si>
  <si>
    <t>Para 10m³</t>
  </si>
  <si>
    <t>13.398.0016-0</t>
  </si>
  <si>
    <t>PISO DE FRISO DE IPE OU MADEIRA EQUIVALENTE COM 20X2CM,PREGADO SOBRE BARROTEAMENTO OU REGUAS DE MADEIRA DE LEI A CADA 50CM,EXCLUSIVE BARROTES OU REGUAS</t>
  </si>
  <si>
    <t>PONTO DE CONSUMO TERMINAL DE ÁGUA FRIA (SUBRAMAL) COM TUBULAÇÃO DE PVC, DN 25 MM, INSTALADO EM RAMAL DE ÁGUA, INCLUSOS RASGO E CHUMBAMENTO EM ALVENARIA. AF_12/2014</t>
  </si>
  <si>
    <t>Container quadra</t>
  </si>
  <si>
    <t>15.036.0031-0</t>
  </si>
  <si>
    <t>TUBO DE PVC RIGIDO DE 50MM,SOLDAVEL,EXCLUSIVE CONEXOES,EMENDAS,ABERTURA E FECHAMENTO DE RASGO.FORNECIMENTO E ASSENTAMENTO</t>
  </si>
  <si>
    <t>CURVA 45 GRAUS, PVC, SOLDÁVEL, DN 50MM, INSTALADO EM RAMAL DE DISTRIBUIÇÃO DE ÁGUA - FORNECIMENTO E INSTALAÇÃO. AF_06/2022</t>
  </si>
  <si>
    <t>CURVA 90 GRAUS, PVC, SOLDÁVEL, DN 50MM, INSTALADO EM RAMAL DE DISTRIBUIÇÃO DE ÁGUA - FORNECIMENTO E INSTALAÇÃO. AF_06/2022</t>
  </si>
  <si>
    <t>Tubo PVC 25mm</t>
  </si>
  <si>
    <t>1º Pav. Prédio Principal - dreno ar</t>
  </si>
  <si>
    <t>2º Pav. Prédio Principal - dreno ar</t>
  </si>
  <si>
    <t>2º Pav. Prédio Anexo - dreno ar</t>
  </si>
  <si>
    <t>Conexões de água (container quadra, jardins, ..)</t>
  </si>
  <si>
    <t>Conexões água</t>
  </si>
  <si>
    <t>06.272.0021-0</t>
  </si>
  <si>
    <t>CURVA DE PVC PARA REDE DE ESGOTO,CONFORME ABNT NBR 10569,DE 45�,PB,COM DIAMETRO NOMINAL DE 100MM,INCLUSIVE ANEL DE BORRACHA.FORNECIMENTO</t>
  </si>
  <si>
    <t>06.272.0026-0</t>
  </si>
  <si>
    <t>CURVA DE PVC PARA REDE DE ESGOTO,CONFORME ABNT NBR 10569,DE 90�,PB,COM DIAMETRO NOMINAL DE 100MM,INCLUSIVE ANEL DE BORRACHA.FORNECIMENTO</t>
  </si>
  <si>
    <t>TUBO DE PVC PARA ESGOTO, REFORCADO, PONTA E BOLSA, INCLUSIVE ANEL DE BORRACHA, ABNT-NBR 7362, DE 100MM</t>
  </si>
  <si>
    <t>Conexões esgoto</t>
  </si>
  <si>
    <t>TUBO FERRO FUNDIDO CENTRIF.DUCTIL.P/CANALIZ.SOB PRES.OU GRAVIT.NORMA ABNT NBR 15.420,INCL.ANEL BOR.NITRILICO,DIAM.100MM</t>
  </si>
  <si>
    <t>Para sistema de incêndio</t>
  </si>
  <si>
    <t>IT 15.20.0250 (/)</t>
  </si>
  <si>
    <t>Joelho de ferro fundido, 87o 30', J87HL, diametro de 100mm. Fornecimento e instalacao.</t>
  </si>
  <si>
    <t>Servente para operar a talha e limpeza</t>
  </si>
  <si>
    <t>14.001.0001-0</t>
  </si>
  <si>
    <t>JANELA DE PVC BRANCO,CONFORME ABNT NBR 16851,DE CORRER,DUAS FOLHAS MOVEIS,DE (1,20X1,20)M,EXCLUSIVE VIDROS,INCLUSIVE FERRAGENS E ACESSORIOS.FORNECIMENTO E COLOCACAO</t>
  </si>
  <si>
    <t>14.001.0006-0</t>
  </si>
  <si>
    <t>JANELA DE PVC BRANCO,CONFORME ABNT NBR 16851,DE CORRER,QUATRO FOLHAS,SENDO DUAS FIXAS E DUAS MOVEIS,DE (2,00X1,20)M,EXCLUSIVE VIDROS,INCLUSIVE FERRAGENS E ACESSORIOS.FORNECIMENTO ECOLOCACAO.</t>
  </si>
  <si>
    <t>14.004.0025-0</t>
  </si>
  <si>
    <t>VIDRO PLANO TRANSPARENTE,COMUM,DE 6MM DE ESPESSURA.FORNECIMENTO E COLOCACAO</t>
  </si>
  <si>
    <t>JAL 1 e 2</t>
  </si>
  <si>
    <t>JAL 4</t>
  </si>
  <si>
    <t>Vidros para janelas</t>
  </si>
  <si>
    <t>18.016.0130-0</t>
  </si>
  <si>
    <t>BARRA DE APOIO FIXA AO PISO,EM ACO INOXIDAVEL AISI 304,TUBO DE 1.1/4",INCLUSIVE FIXACAO COM PARAFUSOS INOXIDAVEIS E BUCHAS PLASTICAS,COM 75X80CM,PARA PESSOAS COM NECESSIDADES ESPECIFICAS.FORNECIMENTO E COLOCACAO</t>
  </si>
  <si>
    <t>Para banheiro PNE</t>
  </si>
  <si>
    <t>Profundidade</t>
  </si>
  <si>
    <t>Item 32</t>
  </si>
  <si>
    <t>Demolições e arrancamentos</t>
  </si>
  <si>
    <t>Item 37</t>
  </si>
  <si>
    <t>Item 38</t>
  </si>
  <si>
    <t>Item 93</t>
  </si>
  <si>
    <t>Item 69</t>
  </si>
  <si>
    <t>Item 70</t>
  </si>
  <si>
    <t>Impermeabilização Manta asfáltica</t>
  </si>
  <si>
    <t>Palco Aula comunitária</t>
  </si>
  <si>
    <t>Suporte cobertura entrada</t>
  </si>
  <si>
    <t>Item 33</t>
  </si>
  <si>
    <t>Recepção/Aula comum. 1º pav</t>
  </si>
  <si>
    <t>11.023.0004-0</t>
  </si>
  <si>
    <t>11.011.0027-0</t>
  </si>
  <si>
    <t>CORTE,DOBRAGEM,MONTAGEM E COLOCACAO DE FERRAGENS NAS FORMAS</t>
  </si>
  <si>
    <t>Laje cobertura quadra</t>
  </si>
  <si>
    <t>Kg / m²</t>
  </si>
  <si>
    <t>11.025.0013-0</t>
  </si>
  <si>
    <t xml:space="preserve">CONCRETO     BOMBEADO,COMPREENDENDO     O     FORNECIMENTO     DECONCRETO     IMPORTADO     DEUSINA, COLOCACAO NAS FORMAS,ESPALHAMENTO,ADENSAMENTO MECANICO E ACABA MENTO </t>
  </si>
  <si>
    <t>Palco aula comunitária 2º pav</t>
  </si>
  <si>
    <t>Aula comunitária 1º e 2º pav</t>
  </si>
  <si>
    <t>Guarda instrumentos</t>
  </si>
  <si>
    <t>Banheiro 2º piso anexo</t>
  </si>
  <si>
    <t>14.002.0535-0</t>
  </si>
  <si>
    <t>14.002.0537-0</t>
  </si>
  <si>
    <t xml:space="preserve">14.002.0542-0	</t>
  </si>
  <si>
    <t>Porta acustica de 200cm</t>
  </si>
  <si>
    <t>Quadra (3 entrada e 1 lateral)</t>
  </si>
  <si>
    <t>Área técnica quadra</t>
  </si>
  <si>
    <t>JANELA FIXA DE ALUMÍNIO PARA VIDRO, COM VIDRO, BATENTE E FERRAGENS. EXCLUSIVE ACABAMENTO, ALIZAR E CONTRAMARCO. FORNECIMENTO E INSTALAÇÃO. AF_12/2019</t>
  </si>
  <si>
    <t>Platibanda Prédio Principal</t>
  </si>
  <si>
    <t>Platibanda Prédio Anexo</t>
  </si>
  <si>
    <t>Cobertura quadra</t>
  </si>
  <si>
    <t>Quadra frente (área externa)</t>
  </si>
  <si>
    <t>Quadra área técnica (área externa)</t>
  </si>
  <si>
    <t>Item 71</t>
  </si>
  <si>
    <t>Item 72</t>
  </si>
  <si>
    <t>05.105.0130-0</t>
  </si>
  <si>
    <t>MAO-DE-OBRA DE ENGENHEIRO OU ARQUITETO JR.,INCLUSIVE ENCARGOS SOCIAIS</t>
  </si>
  <si>
    <t>05.105.0126-0</t>
  </si>
  <si>
    <t>MAO-DE-OBRA DE FEITOR (ENCARREGADO DE TURMA),INCLUSIVE ENCARGOS SOCIAIS</t>
  </si>
  <si>
    <t>Telha para telhados</t>
  </si>
  <si>
    <t>Estrutura para telhados</t>
  </si>
  <si>
    <t>13.196.0095-0</t>
  </si>
  <si>
    <t>FORRO ACUSTICO ESTRUTURADO MONOLITICO DRYWALL C/CHAPA GESSO ACARTONADO PERFURADA/RANHURADA, LARG.1200MM, ESP.12,5MM, C/TRATAMENTO JUNTAS C/MASSA E FITA P/UNIFORMIZACAO SUPERFICIE DASCHAPAS GESSO ACARTONADO,CHAPAS APARAFUSADAS ESTRUTURA ACO GALVANIZADO,SUSPENSA POR PENDURAIS,C/PERIMETRO ESTRUTURA DO FORRO EXECUTADO C/CANTONEIRAS ACO GALVANIZADO.FORN.E COLOCACAO</t>
  </si>
  <si>
    <t>11.035.0020-0</t>
  </si>
  <si>
    <t>FORMA PARA CONCRETO EM PERFIL DE ACO GALVANIZADO ESTRUTURAL TIPO "STEEL DECK",COM ESPESSURA DE 1,25MM,INCLUSIVE ACESSORIOS GALVANIZADOS E EXCLUSIVE TELA E CONCRETO.FORNECIMENTO E COLOCACAO</t>
  </si>
  <si>
    <t>RV 15.80.0050 (/)</t>
  </si>
  <si>
    <t>Piso elevado Dimopiso ou similar, em placas de (60x60)cm com espessura de 40mm, estruturado por suportes telescopicos com altura de 20cm, revestido com Paviflex ou similar. Fornecimento e colocacao.</t>
  </si>
  <si>
    <t>ASSOALHO DE MADEIRA. AF_09/2020</t>
  </si>
  <si>
    <t>Auditório (quadra)</t>
  </si>
  <si>
    <t>Item 54</t>
  </si>
  <si>
    <t>14.007.0505-0</t>
  </si>
  <si>
    <t>BARRA ANTIPANICO,CEGA NO LADO OPOSTO E DE ACIONAMENTO RADIAL TIPO PUSH P/PORTA MADEIRA OU METAL,DUPLA(2 FOLHAS),CONFECCIONADA LIGA DE METAIS,CERTIFICADA NBR 11785,COMPOSTA 4 SUPORTES TRAVAMENTO HORIZONTAL,2 BARRAS ACIONADORAS 1,00MM,1 HASTEVERTICAL E 2 MECANISMOS TRAVAMENTO VERTICAL(CREMONA).INDICADA P/PORTAS ATE 220X100CM(AXL),EXCL.FECHADURA EXT.FORN.INST.</t>
  </si>
  <si>
    <t>Para portas auditório</t>
  </si>
  <si>
    <t>Cintas</t>
  </si>
  <si>
    <t>Sapatas (base)</t>
  </si>
  <si>
    <t>Sapatas (pescoço)</t>
  </si>
  <si>
    <t>11.016.0040-0</t>
  </si>
  <si>
    <t>ESTRUTURA METALICA EM ACO ESPECIAL,RESISTENTE A CORROSAO(ACO USI-SAC),PARA OBRAS PREDIAIS DE ATE 04 PAVIMENTOS,PILARES, VIGAS PRINCIPAIS E SECUNDARIAS,ESCADAS,PATAMARES E CHAPAS DAS BASES DA FUNDACAO,PINTURA PROTETORA,CONSIDERANDO FORNECIMENTO DE TODOS OS MATERIAIS E MONTAGEM,EXCLUSIVE A LAJE DE CONCRETO</t>
  </si>
  <si>
    <t>CARGA, MANOBRA E DESCARGA DE PERFIL METÁLICO EM CAMINHÃO CARROCERIA COM GUINDAUTO (MUNCK) 11,7 TM. AF_07/2020</t>
  </si>
  <si>
    <t>Total Kg</t>
  </si>
  <si>
    <t>Total T</t>
  </si>
  <si>
    <t>Fechamento auditório (quadra)</t>
  </si>
  <si>
    <t>Auditório (quadra) - dreno ar</t>
  </si>
  <si>
    <t>T x Km</t>
  </si>
  <si>
    <t>Auditório (Quadra)</t>
  </si>
  <si>
    <t>Subtotal K</t>
  </si>
  <si>
    <t>ETAPA  L : Recuperação e reforço estrutural</t>
  </si>
  <si>
    <t>05.002.0013-0</t>
  </si>
  <si>
    <t>DEMOLICAO COM EQUIPAMENTO DE AR COMPRIMIDO,DE CONCRETO ARMADO,VISANDO A EXPOSICAO OU RETIRADA DE ARMADURA</t>
  </si>
  <si>
    <t>05.001.0605-0</t>
  </si>
  <si>
    <t>APICOAMENTO DE CONCRETO,EM SUPERFICIES VERTICIAS,INCLUSIVE CORRECAO DE FALHAS</t>
  </si>
  <si>
    <t>05.001.0601-0</t>
  </si>
  <si>
    <t>APICOAMENTO DE CONCRETO OU PISO CIMENTADO</t>
  </si>
  <si>
    <t>05.001.0606-0</t>
  </si>
  <si>
    <t>APICOAMENTO DE CONCRETO,EM SUPERFICIES HORIZONTAIS(TETO),INCLUSIVE CORRECAO DE FALHAS</t>
  </si>
  <si>
    <t>05.001.0750-0</t>
  </si>
  <si>
    <t>LIMPEZA DE SUPERFICIE DE CONCRETO E DA ARMADURA,COM ESCOVA DE ACO,APOS RETIRADA DO CAPEAMENTO,EXCLUSIVE ESTE</t>
  </si>
  <si>
    <t>11.005.0001-1</t>
  </si>
  <si>
    <t>FORMAS DE CHAPAS DE MADEIRA COMPENSADA,EMPREGANDO-SE AS DE 14MM,RESINADAS,E TAMBEM AS DE 20MM DE ESPESSURA,PLASTIFICADAS,SERVINDO 4 VEZES,E A MADEIRA AUXILIAR SERVINDO 3 VEZES,INCLUSIVE FORNECIMENTO E DESMOLDAGEM,EXCLUSIVE ESCORAMENTO</t>
  </si>
  <si>
    <t>11.004.0035-1</t>
  </si>
  <si>
    <t>ESCORAMENTO DE FORMAS ATE 3,30M DE PE DIREITO,COM MADEIRA DE 3�,TABUAS EMPREGADAS 3 VEZES,PRUMOS 4 VEZES</t>
  </si>
  <si>
    <t>11.004.0061-0</t>
  </si>
  <si>
    <t>REFORCO LATERAL DE ESCORAMENTO DE FORMAS DE PILARES OU VIGAS,COM 30% DE APROVEITAMENTO DA MADEIRA,INCLUSIVE RETIRADA</t>
  </si>
  <si>
    <t>11.004.0069-1</t>
  </si>
  <si>
    <t>ESCORAMENTO DE FORMAS DE PARAMENTOS VERTICAIS,PARA ALTURA DE 1,50 A 5,00M,COM 30% DE APROVEITAMENTO DA MADEIRA,INCLUSIVERETIRADA</t>
  </si>
  <si>
    <t>05.001.0608-0</t>
  </si>
  <si>
    <t>FURACAO EM CONCRETO COM FURADEIRA MANUAL E BROCA DE WIDIA DE DIAMETRO DE 5/8"</t>
  </si>
  <si>
    <t>07.160.0020-1</t>
  </si>
  <si>
    <t>APLICACAO DE RESINA EPOXICA EM COLAGEM DE PECAS DE CONCRETO,INCLUSIVE PREPARO DO LOCAL E FORNECIMENTO DE MATERIAL.CUSTO POR KG DE RESINA UTILIZADA</t>
  </si>
  <si>
    <t>11.015.0019-0</t>
  </si>
  <si>
    <t>GROUT (ARGAMASSA FLUIDA DE ELEVADA RESISTENCIA),INCLUSIVE PREPARO,LANCAMENTO E FORNECIMENTO DOS MATERIAIS</t>
  </si>
  <si>
    <t>01.001.0151-0</t>
  </si>
  <si>
    <t>CONTROLE TECNOLOGICO DE OBRAS EM CONCRETO ARMADO CONSIDERANDO APENAS O CONTROLE DO CONCRETO E CONSTANDO DE COLETA,MOLDAGEM E CAPEAMENTO DE CORPOS DE PROVA,TRANSPORTE ATE 100KM,ENSAIOS DE RESISTENCIA A COMPRESSAO AOS 3, 7 E 28 DIAS E "SLUMPTEST",MEDIDO POR M3 DE CONCRETO COLOCADO NAS FORMAS</t>
  </si>
  <si>
    <t>11.015.0030-0</t>
  </si>
  <si>
    <t>ADITIVO A BASE DE SILICA ATIVA,DOSADO SOBRE O PESO DO CIMENTO NA PROPORCAO MEDIA DE 10%,INCLUSIVE MAO-DE-OBRA E PERDAS.POR M3 DE CONCRETO</t>
  </si>
  <si>
    <t>11.090.0600-0</t>
  </si>
  <si>
    <t>RECUPERACAO DE ESTRUTURA,CAVIDADES E ARESTAS EM CONCRETO ARMADO,COM ARGAMASSA TIXOTROPICA POLIMERICA DE ALTO DESEMPENHO COM ESPESSURA ATE 3CM</t>
  </si>
  <si>
    <t>17.013.0030-0</t>
  </si>
  <si>
    <t>PINTURA INTERNA OU EXTERNA SOBRE CONCRETO LISO OU REVESTIMENTO,COM TINTA AQUOSA A BASE DE EPOXI INCOLOR OU EM CORES,INCLUSIVE LIMPEZA,E DUAS DEMAOS DE ACABAMENTO</t>
  </si>
  <si>
    <t>CONCRETO BOMBEADO,FCK=35MPA,COMPREENDENDO O FORNECIMENTO DE CONCRETO IMPORTADO DE USINA,COLOCACAO NAS FORMAS,ESPALHAMENTO,ADENSAMENTO MECANICO E ACABAMENTO</t>
  </si>
  <si>
    <t>11.009.0011-0</t>
  </si>
  <si>
    <t>FIO DE ACO CA-60,REDONDO,COM SALIENCIA OU MOSSA,COEFICIENTE DE CONFORMACAO SUPERFICIAL MINIMO(ADERENCIA)IGUAL A 1,5,DIAMETRO ENTRE 4,2 A 5MM,DESTINADO A ARMADURA DE PECAS DE CONCRETO ARMADO,COMPREENDENDO 10% DE PERDAS DE PONTAS E ARAME 18.FORNECIMENTO</t>
  </si>
  <si>
    <t>CORTE,DOBRAGEM,MONTAGEM E COLOCACAO DE FERRAGENS NAS FORMAS,ACO CA-60,EM FIO REDONDO,COM DIAMETRO DE 4,2 A 5MM</t>
  </si>
  <si>
    <t>11.009.0013-0</t>
  </si>
  <si>
    <t>BARRA DE ACO CA-50,COM SALIENCIA OU MOSSA,COEFICIENTE DE CONFORMACAO SUPERFICIAL MINIMO (ADERENCIA) IGUAL A 1,5,DIAMETRODE 6,3MM,DESTINADA A ARMADURA DE CONCRETO ARMADO,10% DE PERDAS DE PONTAS E ARAME 18.FORNECIMENTO</t>
  </si>
  <si>
    <t>11.011.0029-0</t>
  </si>
  <si>
    <t>CORTE,DOBRAGEM,MONTAGEM E COLOCACAO DE FERRAGENS NAS FORMAS,ACO CA-50,EM BARRAS REDONDAS,COM DIAMETRO IGUAL A 6,3MM</t>
  </si>
  <si>
    <t>11.009.0014-1</t>
  </si>
  <si>
    <t>BARRA DE ACO CA-50,COM SALIENCIA OU MOSSA,COEFICIENTE DE CONFORMACAO SUPERFICIAL MINIMO (ADERENCIA) IGUAL A 1,5,DIAMETRODE 8 A 12,5MM,DESTINADA A ARMADURA DE CONCRETO ARMADO,10%DE PERDAS DE PONTAS E ARAME 18.FORNECIMENTO</t>
  </si>
  <si>
    <t>11.011.0030-1</t>
  </si>
  <si>
    <t>CORTE,DOBRAGEM,MONTAGEM E COLOCACAO DE FERRAGENS NAS FORMAS,ACO CA-50,EM BARRAS REDONDAS,COM DIAMETRO DE 8 A 12,5MM</t>
  </si>
  <si>
    <t>13.301.0130-1</t>
  </si>
  <si>
    <t>CONTRAPISO,BASE OU CAMADA REGULARIZADORA,EXECUTADA COM ARGAMASSA DE CIMENTO E AREIA,NO TRACO 1:4,NA ESPESSURA DE 3,5CM</t>
  </si>
  <si>
    <t>Subtotal L</t>
  </si>
  <si>
    <t>Etapa L</t>
  </si>
  <si>
    <t>Comprimento (m)</t>
  </si>
  <si>
    <t>Largura (m)</t>
  </si>
  <si>
    <t>espessura (m)</t>
  </si>
  <si>
    <t>qtd</t>
  </si>
  <si>
    <t>volume (m³)</t>
  </si>
  <si>
    <t>Piso e teto</t>
  </si>
  <si>
    <t>x</t>
  </si>
  <si>
    <t>=</t>
  </si>
  <si>
    <t>Altura (m)</t>
  </si>
  <si>
    <t>Paredes laterais</t>
  </si>
  <si>
    <t>Paredes frente e fundo</t>
  </si>
  <si>
    <t>Perímetro (m)</t>
  </si>
  <si>
    <t>Pilares</t>
  </si>
  <si>
    <t>área(m²)</t>
  </si>
  <si>
    <t>Piso</t>
  </si>
  <si>
    <t>Teto</t>
  </si>
  <si>
    <t>Área (m²)</t>
  </si>
  <si>
    <t>Total de área a ser recuperada (exceto piso)</t>
  </si>
  <si>
    <t>área (m²)</t>
  </si>
  <si>
    <t>Qtd (und)</t>
  </si>
  <si>
    <t>Comp. Total (m)</t>
  </si>
  <si>
    <t>Paredes</t>
  </si>
  <si>
    <t>comprimento (m)</t>
  </si>
  <si>
    <t>item 174 (furação)</t>
  </si>
  <si>
    <t>vol (l)</t>
  </si>
  <si>
    <t>peso esp (kg/l)</t>
  </si>
  <si>
    <t>peso (kg)</t>
  </si>
  <si>
    <t>= &gt;</t>
  </si>
  <si>
    <t>esp. Med (m)</t>
  </si>
  <si>
    <t>Encontros Teto paredes</t>
  </si>
  <si>
    <t>Encontros Teto pilares</t>
  </si>
  <si>
    <t>Volume de concreto</t>
  </si>
  <si>
    <t>Área total</t>
  </si>
  <si>
    <t>Peso estimado</t>
  </si>
  <si>
    <t>Item 182</t>
  </si>
  <si>
    <t>Item 184</t>
  </si>
  <si>
    <t>Item 186</t>
  </si>
  <si>
    <t>Estimativa de área para recuperação estrutural</t>
  </si>
  <si>
    <t>Frente auditório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</si>
</sst>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00"/>
    <numFmt numFmtId="165" formatCode="0.0000"/>
    <numFmt numFmtId="166" formatCode="_-* #,##0.00000_-;\-* #,##0.00000_-;_-* &quot;-&quot;??_-;_-@_-"/>
    <numFmt numFmtId="167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Arial Narro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 wrapText="1"/>
    </xf>
    <xf numFmtId="2" fontId="3" fillId="0" borderId="3" xfId="1" applyNumberFormat="1" applyFont="1" applyBorder="1" applyAlignment="1">
      <alignment horizontal="right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4" fillId="0" borderId="3" xfId="1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2" fontId="3" fillId="0" borderId="3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0" fontId="3" fillId="0" borderId="3" xfId="1" applyFont="1" applyBorder="1" applyAlignment="1">
      <alignment horizontal="center" wrapText="1"/>
    </xf>
    <xf numFmtId="2" fontId="3" fillId="0" borderId="3" xfId="1" applyNumberFormat="1" applyFont="1" applyBorder="1" applyAlignment="1">
      <alignment horizontal="center" wrapText="1"/>
    </xf>
    <xf numFmtId="4" fontId="4" fillId="0" borderId="3" xfId="1" applyNumberFormat="1" applyFont="1" applyBorder="1" applyAlignment="1">
      <alignment horizontal="center" wrapText="1"/>
    </xf>
    <xf numFmtId="0" fontId="3" fillId="0" borderId="3" xfId="1" applyFont="1" applyBorder="1" applyAlignment="1">
      <alignment horizontal="left" wrapText="1"/>
    </xf>
    <xf numFmtId="9" fontId="0" fillId="0" borderId="0" xfId="2" applyFont="1" applyFill="1" applyAlignment="1">
      <alignment horizontal="center"/>
    </xf>
    <xf numFmtId="3" fontId="3" fillId="0" borderId="3" xfId="1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8" fillId="0" borderId="0" xfId="0" applyFont="1"/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9" fontId="8" fillId="0" borderId="0" xfId="2" applyFont="1" applyAlignment="1">
      <alignment horizontal="center"/>
    </xf>
    <xf numFmtId="2" fontId="8" fillId="0" borderId="0" xfId="0" applyNumberFormat="1" applyFont="1"/>
    <xf numFmtId="2" fontId="8" fillId="3" borderId="0" xfId="3" applyNumberFormat="1" applyFont="1" applyFill="1" applyAlignment="1">
      <alignment horizontal="center" vertical="center"/>
    </xf>
    <xf numFmtId="2" fontId="8" fillId="3" borderId="0" xfId="3" applyNumberFormat="1" applyFont="1" applyFill="1" applyAlignment="1">
      <alignment horizontal="left" vertical="center"/>
    </xf>
    <xf numFmtId="2" fontId="8" fillId="3" borderId="0" xfId="3" applyNumberFormat="1" applyFont="1" applyFill="1" applyAlignment="1">
      <alignment horizontal="right" vertical="center"/>
    </xf>
    <xf numFmtId="0" fontId="1" fillId="3" borderId="0" xfId="0" applyFont="1" applyFill="1"/>
    <xf numFmtId="0" fontId="1" fillId="0" borderId="0" xfId="0" applyFont="1"/>
    <xf numFmtId="2" fontId="9" fillId="3" borderId="0" xfId="3" applyNumberFormat="1" applyFont="1" applyFill="1" applyAlignment="1">
      <alignment horizontal="center" vertical="center"/>
    </xf>
    <xf numFmtId="2" fontId="1" fillId="3" borderId="0" xfId="3" applyNumberFormat="1" applyFill="1" applyAlignment="1">
      <alignment horizontal="center" vertical="center"/>
    </xf>
    <xf numFmtId="164" fontId="8" fillId="3" borderId="0" xfId="3" applyNumberFormat="1" applyFont="1" applyFill="1" applyAlignment="1">
      <alignment horizontal="right" vertical="center"/>
    </xf>
    <xf numFmtId="2" fontId="8" fillId="0" borderId="0" xfId="4" applyNumberFormat="1" applyFont="1" applyAlignment="1">
      <alignment horizontal="center" vertical="center"/>
    </xf>
    <xf numFmtId="2" fontId="8" fillId="0" borderId="0" xfId="4" applyNumberFormat="1" applyFont="1" applyAlignment="1">
      <alignment horizontal="center" vertical="center" wrapText="1"/>
    </xf>
    <xf numFmtId="2" fontId="8" fillId="0" borderId="14" xfId="4" applyNumberFormat="1" applyFont="1" applyBorder="1" applyAlignment="1">
      <alignment horizontal="center" vertical="center" wrapText="1"/>
    </xf>
    <xf numFmtId="2" fontId="8" fillId="0" borderId="0" xfId="4" applyNumberFormat="1" applyFont="1" applyAlignment="1">
      <alignment horizontal="left" vertical="center" wrapText="1"/>
    </xf>
    <xf numFmtId="2" fontId="8" fillId="0" borderId="0" xfId="4" applyNumberFormat="1" applyFont="1" applyAlignment="1">
      <alignment horizontal="left" vertical="center"/>
    </xf>
    <xf numFmtId="43" fontId="0" fillId="0" borderId="0" xfId="0" applyNumberFormat="1"/>
    <xf numFmtId="2" fontId="8" fillId="3" borderId="0" xfId="3" applyNumberFormat="1" applyFont="1" applyFill="1" applyAlignment="1">
      <alignment horizontal="right" vertical="center" wrapText="1"/>
    </xf>
    <xf numFmtId="2" fontId="8" fillId="3" borderId="0" xfId="4" applyNumberFormat="1" applyFont="1" applyFill="1" applyAlignment="1">
      <alignment horizontal="center" vertical="center" wrapText="1"/>
    </xf>
    <xf numFmtId="2" fontId="8" fillId="3" borderId="0" xfId="4" applyNumberFormat="1" applyFont="1" applyFill="1" applyAlignment="1">
      <alignment horizontal="center" vertical="center"/>
    </xf>
    <xf numFmtId="165" fontId="8" fillId="3" borderId="0" xfId="3" applyNumberFormat="1" applyFont="1" applyFill="1" applyAlignment="1">
      <alignment horizontal="center" vertical="center"/>
    </xf>
    <xf numFmtId="43" fontId="8" fillId="3" borderId="0" xfId="5" applyFont="1" applyFill="1" applyBorder="1" applyAlignment="1">
      <alignment horizontal="center" vertical="center"/>
    </xf>
    <xf numFmtId="166" fontId="8" fillId="3" borderId="0" xfId="5" applyNumberFormat="1" applyFont="1" applyFill="1" applyBorder="1" applyAlignment="1">
      <alignment horizontal="center" vertical="center"/>
    </xf>
    <xf numFmtId="167" fontId="8" fillId="3" borderId="0" xfId="3" applyNumberFormat="1" applyFont="1" applyFill="1" applyAlignment="1">
      <alignment horizontal="center" vertical="center"/>
    </xf>
    <xf numFmtId="2" fontId="8" fillId="3" borderId="0" xfId="3" applyNumberFormat="1" applyFont="1" applyFill="1" applyAlignment="1">
      <alignment vertical="center" wrapText="1"/>
    </xf>
    <xf numFmtId="2" fontId="8" fillId="3" borderId="14" xfId="4" applyNumberFormat="1" applyFont="1" applyFill="1" applyBorder="1" applyAlignment="1">
      <alignment horizontal="center" vertical="center"/>
    </xf>
    <xf numFmtId="2" fontId="8" fillId="3" borderId="0" xfId="3" applyNumberFormat="1" applyFont="1" applyFill="1" applyAlignment="1">
      <alignment vertical="center"/>
    </xf>
    <xf numFmtId="9" fontId="0" fillId="0" borderId="0" xfId="0" applyNumberFormat="1"/>
    <xf numFmtId="0" fontId="2" fillId="0" borderId="7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11" xfId="1" applyFont="1" applyBorder="1" applyAlignment="1">
      <alignment horizontal="right" vertical="center" wrapText="1" indent="1"/>
    </xf>
    <xf numFmtId="0" fontId="2" fillId="0" borderId="12" xfId="1" applyFont="1" applyBorder="1" applyAlignment="1">
      <alignment horizontal="right" vertical="center" wrapText="1" indent="1"/>
    </xf>
    <xf numFmtId="0" fontId="2" fillId="0" borderId="13" xfId="1" applyFont="1" applyBorder="1" applyAlignment="1">
      <alignment horizontal="right" vertical="center" wrapText="1" indent="1"/>
    </xf>
    <xf numFmtId="0" fontId="2" fillId="0" borderId="10" xfId="1" applyFont="1" applyBorder="1" applyAlignment="1">
      <alignment horizontal="right" vertical="center" wrapText="1" indent="1"/>
    </xf>
    <xf numFmtId="0" fontId="2" fillId="0" borderId="1" xfId="1" applyFont="1" applyBorder="1" applyAlignment="1">
      <alignment horizontal="right" vertical="center" wrapText="1" indent="1"/>
    </xf>
    <xf numFmtId="0" fontId="2" fillId="0" borderId="2" xfId="1" applyFont="1" applyBorder="1" applyAlignment="1">
      <alignment horizontal="right" vertical="center" wrapText="1" indent="1"/>
    </xf>
    <xf numFmtId="0" fontId="5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6">
    <cellStyle name="Normal" xfId="0" builtinId="0"/>
    <cellStyle name="Normal 10" xfId="4" xr:uid="{2F123E78-A348-4072-AB9B-16EE75F03CD3}"/>
    <cellStyle name="Normal 3 4 2" xfId="3" xr:uid="{DD97804E-5489-41F1-A0B5-A47634965D2F}"/>
    <cellStyle name="Normal 6" xfId="1" xr:uid="{7E6A5609-B542-4906-A01D-5ABF535123BB}"/>
    <cellStyle name="Porcentagem" xfId="2" builtinId="5"/>
    <cellStyle name="Vírgula 2" xfId="5" xr:uid="{6B2F137E-8D4C-44F5-B3C0-0CE5B11079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002B8-FFC5-418E-AAFA-A48D4A33820F}">
  <sheetPr>
    <pageSetUpPr fitToPage="1"/>
  </sheetPr>
  <dimension ref="B1:H221"/>
  <sheetViews>
    <sheetView topLeftCell="A97" workbookViewId="0">
      <selection activeCell="B221" sqref="B221:G221"/>
    </sheetView>
  </sheetViews>
  <sheetFormatPr defaultRowHeight="15" x14ac:dyDescent="0.25"/>
  <cols>
    <col min="3" max="3" width="19" customWidth="1"/>
    <col min="4" max="4" width="52.7109375" customWidth="1"/>
  </cols>
  <sheetData>
    <row r="1" spans="2:8" ht="15.75" thickBot="1" x14ac:dyDescent="0.3"/>
    <row r="2" spans="2:8" x14ac:dyDescent="0.25">
      <c r="B2" s="56" t="s">
        <v>0</v>
      </c>
      <c r="C2" s="57"/>
      <c r="D2" s="57"/>
      <c r="E2" s="57"/>
      <c r="F2" s="57"/>
      <c r="G2" s="57"/>
      <c r="H2" s="58"/>
    </row>
    <row r="3" spans="2:8" ht="22.5" x14ac:dyDescent="0.25">
      <c r="B3" s="4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5" t="s">
        <v>7</v>
      </c>
    </row>
    <row r="4" spans="2:8" x14ac:dyDescent="0.25">
      <c r="B4" s="4">
        <v>1</v>
      </c>
      <c r="C4" s="1" t="s">
        <v>8</v>
      </c>
      <c r="D4" s="2" t="s">
        <v>190</v>
      </c>
      <c r="E4" s="1" t="s">
        <v>195</v>
      </c>
      <c r="F4" s="3">
        <f>'M. Nova'!F3</f>
        <v>1618.5</v>
      </c>
      <c r="G4" s="7"/>
      <c r="H4" s="6">
        <f>TRUNC(G4*F4,2)</f>
        <v>0</v>
      </c>
    </row>
    <row r="5" spans="2:8" x14ac:dyDescent="0.25">
      <c r="B5" s="4">
        <f t="shared" ref="B5:B20" si="0">B4+1</f>
        <v>2</v>
      </c>
      <c r="C5" s="1" t="s">
        <v>9</v>
      </c>
      <c r="D5" s="2" t="s">
        <v>191</v>
      </c>
      <c r="E5" s="1" t="s">
        <v>196</v>
      </c>
      <c r="F5" s="3">
        <f>'M. Nova'!F10</f>
        <v>6743.75</v>
      </c>
      <c r="G5" s="7"/>
      <c r="H5" s="6">
        <f t="shared" ref="H5:H19" si="1">TRUNC(G5*F5,2)</f>
        <v>0</v>
      </c>
    </row>
    <row r="6" spans="2:8" x14ac:dyDescent="0.25">
      <c r="B6" s="4">
        <f t="shared" si="0"/>
        <v>3</v>
      </c>
      <c r="C6" s="1" t="s">
        <v>10</v>
      </c>
      <c r="D6" s="2" t="s">
        <v>192</v>
      </c>
      <c r="E6" s="1" t="s">
        <v>43</v>
      </c>
      <c r="F6" s="3">
        <f>'M. Nova'!F15</f>
        <v>269.75</v>
      </c>
      <c r="G6" s="7"/>
      <c r="H6" s="6">
        <f t="shared" si="1"/>
        <v>0</v>
      </c>
    </row>
    <row r="7" spans="2:8" x14ac:dyDescent="0.25">
      <c r="B7" s="4">
        <f t="shared" si="0"/>
        <v>4</v>
      </c>
      <c r="C7" s="1" t="s">
        <v>11</v>
      </c>
      <c r="D7" s="2" t="s">
        <v>193</v>
      </c>
      <c r="E7" s="1" t="s">
        <v>43</v>
      </c>
      <c r="F7" s="3">
        <f>'M. Nova'!F20</f>
        <v>1079</v>
      </c>
      <c r="G7" s="7"/>
      <c r="H7" s="6">
        <f t="shared" si="1"/>
        <v>0</v>
      </c>
    </row>
    <row r="8" spans="2:8" x14ac:dyDescent="0.25">
      <c r="B8" s="4">
        <f t="shared" si="0"/>
        <v>5</v>
      </c>
      <c r="C8" s="1" t="s">
        <v>12</v>
      </c>
      <c r="D8" s="2" t="s">
        <v>194</v>
      </c>
      <c r="E8" s="1" t="s">
        <v>195</v>
      </c>
      <c r="F8" s="3">
        <f>'M. Nova'!F25</f>
        <v>332</v>
      </c>
      <c r="G8" s="7"/>
      <c r="H8" s="6">
        <f t="shared" si="1"/>
        <v>0</v>
      </c>
    </row>
    <row r="9" spans="2:8" x14ac:dyDescent="0.25">
      <c r="B9" s="4">
        <f t="shared" si="0"/>
        <v>6</v>
      </c>
      <c r="C9" s="1" t="s">
        <v>255</v>
      </c>
      <c r="D9" s="2" t="s">
        <v>256</v>
      </c>
      <c r="E9" s="1" t="s">
        <v>43</v>
      </c>
      <c r="F9" s="3">
        <f>'M. Nova'!F32</f>
        <v>269.75</v>
      </c>
      <c r="G9" s="7"/>
      <c r="H9" s="6">
        <f t="shared" si="1"/>
        <v>0</v>
      </c>
    </row>
    <row r="10" spans="2:8" x14ac:dyDescent="0.25">
      <c r="B10" s="4">
        <f t="shared" si="0"/>
        <v>7</v>
      </c>
      <c r="C10" s="1" t="s">
        <v>258</v>
      </c>
      <c r="D10" s="2" t="s">
        <v>259</v>
      </c>
      <c r="E10" s="1" t="s">
        <v>45</v>
      </c>
      <c r="F10" s="3">
        <f>'M. Nova'!F37</f>
        <v>300</v>
      </c>
      <c r="G10" s="7"/>
      <c r="H10" s="6">
        <f t="shared" si="1"/>
        <v>0</v>
      </c>
    </row>
    <row r="11" spans="2:8" x14ac:dyDescent="0.25">
      <c r="B11" s="4">
        <f t="shared" si="0"/>
        <v>8</v>
      </c>
      <c r="C11" s="1" t="s">
        <v>264</v>
      </c>
      <c r="D11" s="2" t="s">
        <v>265</v>
      </c>
      <c r="E11" s="1" t="s">
        <v>43</v>
      </c>
      <c r="F11" s="3">
        <f>'M. Nova'!F42</f>
        <v>8</v>
      </c>
      <c r="G11" s="7"/>
      <c r="H11" s="6">
        <f t="shared" si="1"/>
        <v>0</v>
      </c>
    </row>
    <row r="12" spans="2:8" x14ac:dyDescent="0.25">
      <c r="B12" s="4">
        <f t="shared" si="0"/>
        <v>9</v>
      </c>
      <c r="C12" s="1" t="s">
        <v>284</v>
      </c>
      <c r="D12" s="2" t="s">
        <v>285</v>
      </c>
      <c r="E12" s="1" t="s">
        <v>13</v>
      </c>
      <c r="F12" s="3">
        <f>'M. Nova'!F47</f>
        <v>176</v>
      </c>
      <c r="G12" s="7"/>
      <c r="H12" s="6">
        <f t="shared" si="1"/>
        <v>0</v>
      </c>
    </row>
    <row r="13" spans="2:8" ht="22.5" x14ac:dyDescent="0.25">
      <c r="B13" s="4">
        <f t="shared" si="0"/>
        <v>10</v>
      </c>
      <c r="C13" s="1" t="s">
        <v>473</v>
      </c>
      <c r="D13" s="2" t="s">
        <v>474</v>
      </c>
      <c r="E13" s="1" t="s">
        <v>43</v>
      </c>
      <c r="F13" s="3">
        <f>'M. Nova'!F52</f>
        <v>849.47719999999993</v>
      </c>
      <c r="G13" s="7"/>
      <c r="H13" s="6">
        <f t="shared" si="1"/>
        <v>0</v>
      </c>
    </row>
    <row r="14" spans="2:8" ht="22.5" x14ac:dyDescent="0.25">
      <c r="B14" s="4">
        <f t="shared" si="0"/>
        <v>11</v>
      </c>
      <c r="C14" s="1" t="s">
        <v>475</v>
      </c>
      <c r="D14" s="2" t="s">
        <v>477</v>
      </c>
      <c r="E14" s="1" t="s">
        <v>43</v>
      </c>
      <c r="F14" s="3">
        <f>'M. Nova'!F59</f>
        <v>849.47719999999993</v>
      </c>
      <c r="G14" s="7"/>
      <c r="H14" s="6">
        <f t="shared" si="1"/>
        <v>0</v>
      </c>
    </row>
    <row r="15" spans="2:8" ht="22.5" x14ac:dyDescent="0.25">
      <c r="B15" s="4">
        <f t="shared" si="0"/>
        <v>12</v>
      </c>
      <c r="C15" s="1" t="s">
        <v>476</v>
      </c>
      <c r="D15" s="2" t="s">
        <v>478</v>
      </c>
      <c r="E15" s="1" t="s">
        <v>43</v>
      </c>
      <c r="F15" s="3">
        <f>'M. Nova'!F64</f>
        <v>849.47719999999993</v>
      </c>
      <c r="G15" s="7"/>
      <c r="H15" s="6">
        <f t="shared" si="1"/>
        <v>0</v>
      </c>
    </row>
    <row r="16" spans="2:8" x14ac:dyDescent="0.25">
      <c r="B16" s="4">
        <f t="shared" si="0"/>
        <v>13</v>
      </c>
      <c r="C16" s="1">
        <v>98459</v>
      </c>
      <c r="D16" s="2" t="s">
        <v>340</v>
      </c>
      <c r="E16" s="1" t="s">
        <v>43</v>
      </c>
      <c r="F16" s="3">
        <f>'M. Nova'!F69</f>
        <v>44</v>
      </c>
      <c r="G16" s="7"/>
      <c r="H16" s="6">
        <f t="shared" si="1"/>
        <v>0</v>
      </c>
    </row>
    <row r="17" spans="2:8" x14ac:dyDescent="0.25">
      <c r="B17" s="4">
        <f t="shared" si="0"/>
        <v>14</v>
      </c>
      <c r="C17" s="1">
        <v>97637</v>
      </c>
      <c r="D17" s="2" t="s">
        <v>341</v>
      </c>
      <c r="E17" s="1" t="s">
        <v>43</v>
      </c>
      <c r="F17" s="3">
        <f>'M. Nova'!F77</f>
        <v>44</v>
      </c>
      <c r="G17" s="7"/>
      <c r="H17" s="6">
        <f t="shared" si="1"/>
        <v>0</v>
      </c>
    </row>
    <row r="18" spans="2:8" x14ac:dyDescent="0.25">
      <c r="B18" s="4">
        <f t="shared" si="0"/>
        <v>15</v>
      </c>
      <c r="C18" s="1">
        <v>3631</v>
      </c>
      <c r="D18" s="2" t="s">
        <v>342</v>
      </c>
      <c r="E18" s="1" t="s">
        <v>43</v>
      </c>
      <c r="F18" s="3">
        <f>'M. Nova'!F82</f>
        <v>1200</v>
      </c>
      <c r="G18" s="7"/>
      <c r="H18" s="6">
        <f t="shared" si="1"/>
        <v>0</v>
      </c>
    </row>
    <row r="19" spans="2:8" ht="33.75" x14ac:dyDescent="0.25">
      <c r="B19" s="4">
        <f t="shared" si="0"/>
        <v>16</v>
      </c>
      <c r="C19" s="1" t="s">
        <v>487</v>
      </c>
      <c r="D19" s="2" t="s">
        <v>488</v>
      </c>
      <c r="E19" s="1" t="s">
        <v>43</v>
      </c>
      <c r="F19" s="3">
        <f>'M. Nova'!F87</f>
        <v>351.935</v>
      </c>
      <c r="G19" s="7"/>
      <c r="H19" s="6">
        <f t="shared" si="1"/>
        <v>0</v>
      </c>
    </row>
    <row r="20" spans="2:8" ht="56.25" x14ac:dyDescent="0.25">
      <c r="B20" s="4">
        <f t="shared" si="0"/>
        <v>17</v>
      </c>
      <c r="C20" s="1" t="s">
        <v>496</v>
      </c>
      <c r="D20" s="2" t="s">
        <v>497</v>
      </c>
      <c r="E20" s="1" t="s">
        <v>13</v>
      </c>
      <c r="F20" s="3">
        <f>'M. Nova'!F92</f>
        <v>40</v>
      </c>
      <c r="G20" s="7"/>
      <c r="H20" s="6">
        <f t="shared" ref="H20" si="2">TRUNC(G20*F20,2)</f>
        <v>0</v>
      </c>
    </row>
    <row r="21" spans="2:8" ht="15.75" thickBot="1" x14ac:dyDescent="0.3">
      <c r="B21" s="62" t="s">
        <v>47</v>
      </c>
      <c r="C21" s="63"/>
      <c r="D21" s="63"/>
      <c r="E21" s="63"/>
      <c r="F21" s="63"/>
      <c r="G21" s="64"/>
      <c r="H21" s="10">
        <f>SUM(H4:H19)</f>
        <v>0</v>
      </c>
    </row>
    <row r="22" spans="2:8" x14ac:dyDescent="0.25">
      <c r="B22" s="56" t="s">
        <v>50</v>
      </c>
      <c r="C22" s="57"/>
      <c r="D22" s="57"/>
      <c r="E22" s="57"/>
      <c r="F22" s="57"/>
      <c r="G22" s="57"/>
      <c r="H22" s="58"/>
    </row>
    <row r="23" spans="2:8" x14ac:dyDescent="0.25">
      <c r="B23" s="4">
        <f>B20+1</f>
        <v>18</v>
      </c>
      <c r="C23" s="17" t="s">
        <v>52</v>
      </c>
      <c r="D23" s="20" t="s">
        <v>53</v>
      </c>
      <c r="E23" s="17" t="s">
        <v>44</v>
      </c>
      <c r="F23" s="18">
        <f>'M. Nova'!F98</f>
        <v>6.3</v>
      </c>
      <c r="G23" s="19"/>
      <c r="H23" s="6">
        <f t="shared" ref="H23:H38" si="3">TRUNC(G23*F23,2)</f>
        <v>0</v>
      </c>
    </row>
    <row r="24" spans="2:8" x14ac:dyDescent="0.25">
      <c r="B24" s="4">
        <f>B23+1</f>
        <v>19</v>
      </c>
      <c r="C24" s="17" t="s">
        <v>60</v>
      </c>
      <c r="D24" s="20" t="s">
        <v>59</v>
      </c>
      <c r="E24" s="17" t="s">
        <v>43</v>
      </c>
      <c r="F24" s="18">
        <f>'M. Nova'!F106</f>
        <v>133.15</v>
      </c>
      <c r="G24" s="19"/>
      <c r="H24" s="6">
        <f t="shared" si="3"/>
        <v>0</v>
      </c>
    </row>
    <row r="25" spans="2:8" x14ac:dyDescent="0.25">
      <c r="B25" s="4">
        <f t="shared" ref="B25:B38" si="4">B24+1</f>
        <v>20</v>
      </c>
      <c r="C25" s="17" t="s">
        <v>76</v>
      </c>
      <c r="D25" s="20" t="s">
        <v>67</v>
      </c>
      <c r="E25" s="17" t="s">
        <v>43</v>
      </c>
      <c r="F25" s="18">
        <f>'M. Nova'!F117</f>
        <v>23.610000000000003</v>
      </c>
      <c r="G25" s="19"/>
      <c r="H25" s="6">
        <f t="shared" si="3"/>
        <v>0</v>
      </c>
    </row>
    <row r="26" spans="2:8" x14ac:dyDescent="0.25">
      <c r="B26" s="4">
        <f t="shared" si="4"/>
        <v>21</v>
      </c>
      <c r="C26" s="17" t="s">
        <v>75</v>
      </c>
      <c r="D26" s="20" t="s">
        <v>70</v>
      </c>
      <c r="E26" s="17" t="s">
        <v>43</v>
      </c>
      <c r="F26" s="18">
        <f>'M. Nova'!F129</f>
        <v>24.09</v>
      </c>
      <c r="G26" s="19"/>
      <c r="H26" s="6">
        <f t="shared" si="3"/>
        <v>0</v>
      </c>
    </row>
    <row r="27" spans="2:8" x14ac:dyDescent="0.25">
      <c r="B27" s="4">
        <f t="shared" si="4"/>
        <v>22</v>
      </c>
      <c r="C27" s="17" t="s">
        <v>73</v>
      </c>
      <c r="D27" s="20" t="s">
        <v>72</v>
      </c>
      <c r="E27" s="17" t="s">
        <v>43</v>
      </c>
      <c r="F27" s="18">
        <f>'M. Nova'!F146</f>
        <v>13.68</v>
      </c>
      <c r="G27" s="19"/>
      <c r="H27" s="6">
        <f t="shared" si="3"/>
        <v>0</v>
      </c>
    </row>
    <row r="28" spans="2:8" x14ac:dyDescent="0.25">
      <c r="B28" s="4">
        <f t="shared" si="4"/>
        <v>23</v>
      </c>
      <c r="C28" s="17" t="s">
        <v>78</v>
      </c>
      <c r="D28" s="20" t="s">
        <v>77</v>
      </c>
      <c r="E28" s="17" t="s">
        <v>43</v>
      </c>
      <c r="F28" s="18">
        <f>'M. Nova'!F151</f>
        <v>21.63</v>
      </c>
      <c r="G28" s="19"/>
      <c r="H28" s="6">
        <f t="shared" si="3"/>
        <v>0</v>
      </c>
    </row>
    <row r="29" spans="2:8" x14ac:dyDescent="0.25">
      <c r="B29" s="4">
        <f t="shared" si="4"/>
        <v>24</v>
      </c>
      <c r="C29" s="17" t="s">
        <v>83</v>
      </c>
      <c r="D29" s="20" t="s">
        <v>82</v>
      </c>
      <c r="E29" s="17" t="s">
        <v>43</v>
      </c>
      <c r="F29" s="18">
        <f>'M. Nova'!F156</f>
        <v>181.285</v>
      </c>
      <c r="G29" s="19"/>
      <c r="H29" s="6">
        <f t="shared" si="3"/>
        <v>0</v>
      </c>
    </row>
    <row r="30" spans="2:8" x14ac:dyDescent="0.25">
      <c r="B30" s="4">
        <f t="shared" si="4"/>
        <v>25</v>
      </c>
      <c r="C30" s="17" t="s">
        <v>85</v>
      </c>
      <c r="D30" s="20" t="s">
        <v>86</v>
      </c>
      <c r="E30" s="17" t="s">
        <v>44</v>
      </c>
      <c r="F30" s="18">
        <f>'M. Nova'!F165</f>
        <v>3.35</v>
      </c>
      <c r="G30" s="19"/>
      <c r="H30" s="6">
        <f t="shared" si="3"/>
        <v>0</v>
      </c>
    </row>
    <row r="31" spans="2:8" x14ac:dyDescent="0.25">
      <c r="B31" s="4">
        <f t="shared" si="4"/>
        <v>26</v>
      </c>
      <c r="C31" s="17" t="s">
        <v>93</v>
      </c>
      <c r="D31" s="20" t="s">
        <v>94</v>
      </c>
      <c r="E31" s="17" t="s">
        <v>45</v>
      </c>
      <c r="F31" s="18">
        <f>'M. Nova'!F178</f>
        <v>1</v>
      </c>
      <c r="G31" s="19"/>
      <c r="H31" s="6">
        <f t="shared" si="3"/>
        <v>0</v>
      </c>
    </row>
    <row r="32" spans="2:8" x14ac:dyDescent="0.25">
      <c r="B32" s="4">
        <f t="shared" si="4"/>
        <v>27</v>
      </c>
      <c r="C32" s="17" t="s">
        <v>105</v>
      </c>
      <c r="D32" s="20" t="s">
        <v>106</v>
      </c>
      <c r="E32" s="17" t="s">
        <v>43</v>
      </c>
      <c r="F32" s="18">
        <f>'M. Nova'!F183</f>
        <v>10.87</v>
      </c>
      <c r="G32" s="19"/>
      <c r="H32" s="6">
        <f t="shared" si="3"/>
        <v>0</v>
      </c>
    </row>
    <row r="33" spans="2:8" x14ac:dyDescent="0.25">
      <c r="B33" s="4">
        <f t="shared" si="4"/>
        <v>28</v>
      </c>
      <c r="C33" s="17" t="s">
        <v>295</v>
      </c>
      <c r="D33" s="20" t="s">
        <v>296</v>
      </c>
      <c r="E33" s="17" t="s">
        <v>45</v>
      </c>
      <c r="F33" s="18">
        <f>'M. Nova'!F188</f>
        <v>6</v>
      </c>
      <c r="G33" s="19"/>
      <c r="H33" s="6">
        <f t="shared" si="3"/>
        <v>0</v>
      </c>
    </row>
    <row r="34" spans="2:8" x14ac:dyDescent="0.25">
      <c r="B34" s="4">
        <f t="shared" si="4"/>
        <v>29</v>
      </c>
      <c r="C34" s="17" t="s">
        <v>297</v>
      </c>
      <c r="D34" s="20" t="s">
        <v>298</v>
      </c>
      <c r="E34" s="17" t="s">
        <v>42</v>
      </c>
      <c r="F34" s="18">
        <f>'M. Nova'!F196</f>
        <v>12.5</v>
      </c>
      <c r="G34" s="19"/>
      <c r="H34" s="6">
        <f t="shared" si="3"/>
        <v>0</v>
      </c>
    </row>
    <row r="35" spans="2:8" x14ac:dyDescent="0.25">
      <c r="B35" s="4">
        <f t="shared" si="4"/>
        <v>30</v>
      </c>
      <c r="C35" s="17" t="s">
        <v>390</v>
      </c>
      <c r="D35" s="20" t="s">
        <v>391</v>
      </c>
      <c r="E35" s="17" t="s">
        <v>43</v>
      </c>
      <c r="F35" s="18">
        <f>'M. Nova'!F205</f>
        <v>615.76499999999999</v>
      </c>
      <c r="G35" s="19"/>
      <c r="H35" s="6">
        <f t="shared" si="3"/>
        <v>0</v>
      </c>
    </row>
    <row r="36" spans="2:8" x14ac:dyDescent="0.25">
      <c r="B36" s="4">
        <f t="shared" si="4"/>
        <v>31</v>
      </c>
      <c r="C36" s="17" t="s">
        <v>396</v>
      </c>
      <c r="D36" s="20" t="s">
        <v>397</v>
      </c>
      <c r="E36" s="17" t="s">
        <v>369</v>
      </c>
      <c r="F36" s="18">
        <f>'M. Nova'!F214</f>
        <v>775</v>
      </c>
      <c r="G36" s="19"/>
      <c r="H36" s="6">
        <f t="shared" si="3"/>
        <v>0</v>
      </c>
    </row>
    <row r="37" spans="2:8" x14ac:dyDescent="0.25">
      <c r="B37" s="4">
        <f t="shared" si="4"/>
        <v>32</v>
      </c>
      <c r="C37" s="17" t="s">
        <v>401</v>
      </c>
      <c r="D37" s="20" t="s">
        <v>402</v>
      </c>
      <c r="E37" s="17" t="s">
        <v>43</v>
      </c>
      <c r="F37" s="18">
        <f>'M. Nova'!F222</f>
        <v>6</v>
      </c>
      <c r="G37" s="19"/>
      <c r="H37" s="6">
        <f t="shared" si="3"/>
        <v>0</v>
      </c>
    </row>
    <row r="38" spans="2:8" x14ac:dyDescent="0.25">
      <c r="B38" s="4">
        <f t="shared" si="4"/>
        <v>33</v>
      </c>
      <c r="C38" s="17" t="s">
        <v>14</v>
      </c>
      <c r="D38" s="20" t="s">
        <v>434</v>
      </c>
      <c r="E38" s="17" t="s">
        <v>44</v>
      </c>
      <c r="F38" s="18">
        <f>'M. Nova'!F227</f>
        <v>47.06</v>
      </c>
      <c r="G38" s="19"/>
      <c r="H38" s="6">
        <f t="shared" si="3"/>
        <v>0</v>
      </c>
    </row>
    <row r="39" spans="2:8" ht="15.75" thickBot="1" x14ac:dyDescent="0.3">
      <c r="B39" s="59" t="s">
        <v>48</v>
      </c>
      <c r="C39" s="60"/>
      <c r="D39" s="60"/>
      <c r="E39" s="60"/>
      <c r="F39" s="60"/>
      <c r="G39" s="61"/>
      <c r="H39" s="11">
        <f>SUM(H23:H38)</f>
        <v>0</v>
      </c>
    </row>
    <row r="40" spans="2:8" x14ac:dyDescent="0.25">
      <c r="B40" s="56" t="s">
        <v>95</v>
      </c>
      <c r="C40" s="57"/>
      <c r="D40" s="57"/>
      <c r="E40" s="57"/>
      <c r="F40" s="57"/>
      <c r="G40" s="57"/>
      <c r="H40" s="58"/>
    </row>
    <row r="41" spans="2:8" x14ac:dyDescent="0.25">
      <c r="B41" s="4">
        <f>B38+1</f>
        <v>34</v>
      </c>
      <c r="C41" s="1" t="s">
        <v>16</v>
      </c>
      <c r="D41" s="2" t="s">
        <v>97</v>
      </c>
      <c r="E41" s="1" t="s">
        <v>45</v>
      </c>
      <c r="F41" s="9">
        <f>'M. Nova'!F235</f>
        <v>28</v>
      </c>
      <c r="G41" s="7"/>
      <c r="H41" s="6">
        <f t="shared" ref="H41:H42" si="5">TRUNC(G41*F41,2)</f>
        <v>0</v>
      </c>
    </row>
    <row r="42" spans="2:8" x14ac:dyDescent="0.25">
      <c r="B42" s="4">
        <f>B41+1</f>
        <v>35</v>
      </c>
      <c r="C42" s="1" t="s">
        <v>98</v>
      </c>
      <c r="D42" s="2" t="s">
        <v>99</v>
      </c>
      <c r="E42" s="1" t="s">
        <v>44</v>
      </c>
      <c r="F42" s="9">
        <f>'M. Nova'!F259</f>
        <v>137.1044</v>
      </c>
      <c r="G42" s="7"/>
      <c r="H42" s="6">
        <f t="shared" si="5"/>
        <v>0</v>
      </c>
    </row>
    <row r="43" spans="2:8" ht="15.75" thickBot="1" x14ac:dyDescent="0.3">
      <c r="B43" s="59" t="s">
        <v>49</v>
      </c>
      <c r="C43" s="60"/>
      <c r="D43" s="60"/>
      <c r="E43" s="60"/>
      <c r="F43" s="60"/>
      <c r="G43" s="61"/>
      <c r="H43" s="11">
        <f>SUM(H41:H42)</f>
        <v>0</v>
      </c>
    </row>
    <row r="44" spans="2:8" x14ac:dyDescent="0.25">
      <c r="B44" s="56" t="s">
        <v>108</v>
      </c>
      <c r="C44" s="57"/>
      <c r="D44" s="57"/>
      <c r="E44" s="57"/>
      <c r="F44" s="57"/>
      <c r="G44" s="57"/>
      <c r="H44" s="58"/>
    </row>
    <row r="45" spans="2:8" x14ac:dyDescent="0.25">
      <c r="B45" s="4">
        <f>B42+1</f>
        <v>36</v>
      </c>
      <c r="C45" s="1" t="s">
        <v>110</v>
      </c>
      <c r="D45" s="2" t="s">
        <v>111</v>
      </c>
      <c r="E45" s="1" t="s">
        <v>43</v>
      </c>
      <c r="F45" s="9">
        <f>'M. Nova'!F265</f>
        <v>67.739999999999995</v>
      </c>
      <c r="G45" s="7"/>
      <c r="H45" s="6">
        <f t="shared" ref="H45:H60" si="6">TRUNC(G45*F45,2)</f>
        <v>0</v>
      </c>
    </row>
    <row r="46" spans="2:8" x14ac:dyDescent="0.25">
      <c r="B46" s="4">
        <f>B45+1</f>
        <v>37</v>
      </c>
      <c r="C46" s="1" t="s">
        <v>117</v>
      </c>
      <c r="D46" s="2" t="s">
        <v>116</v>
      </c>
      <c r="E46" s="1" t="s">
        <v>43</v>
      </c>
      <c r="F46" s="9">
        <f>'M. Nova'!F273</f>
        <v>43.08</v>
      </c>
      <c r="G46" s="7"/>
      <c r="H46" s="6">
        <f t="shared" si="6"/>
        <v>0</v>
      </c>
    </row>
    <row r="47" spans="2:8" x14ac:dyDescent="0.25">
      <c r="B47" s="4">
        <f t="shared" ref="B47:B74" si="7">B46+1</f>
        <v>38</v>
      </c>
      <c r="C47" s="1" t="s">
        <v>121</v>
      </c>
      <c r="D47" s="2" t="s">
        <v>122</v>
      </c>
      <c r="E47" s="1" t="s">
        <v>43</v>
      </c>
      <c r="F47" s="9">
        <f>'M. Nova'!F288</f>
        <v>397.95000000000005</v>
      </c>
      <c r="G47" s="7"/>
      <c r="H47" s="6">
        <f t="shared" si="6"/>
        <v>0</v>
      </c>
    </row>
    <row r="48" spans="2:8" x14ac:dyDescent="0.25">
      <c r="B48" s="4">
        <f t="shared" si="7"/>
        <v>39</v>
      </c>
      <c r="C48" s="1" t="s">
        <v>124</v>
      </c>
      <c r="D48" s="2" t="s">
        <v>123</v>
      </c>
      <c r="E48" s="1" t="s">
        <v>43</v>
      </c>
      <c r="F48" s="9">
        <f>'M. Nova'!F296</f>
        <v>170.61</v>
      </c>
      <c r="G48" s="7"/>
      <c r="H48" s="6">
        <f t="shared" si="6"/>
        <v>0</v>
      </c>
    </row>
    <row r="49" spans="2:8" x14ac:dyDescent="0.25">
      <c r="B49" s="4">
        <f t="shared" si="7"/>
        <v>40</v>
      </c>
      <c r="C49" s="1" t="s">
        <v>347</v>
      </c>
      <c r="D49" s="2" t="s">
        <v>348</v>
      </c>
      <c r="E49" s="1" t="s">
        <v>349</v>
      </c>
      <c r="F49" s="9">
        <f>'M. Nova'!F309</f>
        <v>144.24</v>
      </c>
      <c r="G49" s="7"/>
      <c r="H49" s="6">
        <f t="shared" si="6"/>
        <v>0</v>
      </c>
    </row>
    <row r="50" spans="2:8" x14ac:dyDescent="0.25">
      <c r="B50" s="4">
        <f t="shared" si="7"/>
        <v>41</v>
      </c>
      <c r="C50" s="1" t="s">
        <v>431</v>
      </c>
      <c r="D50" s="2" t="s">
        <v>432</v>
      </c>
      <c r="E50" s="1" t="s">
        <v>43</v>
      </c>
      <c r="F50" s="9">
        <f>'M. Nova'!F319</f>
        <v>1032.06</v>
      </c>
      <c r="G50" s="7"/>
      <c r="H50" s="6">
        <f t="shared" si="6"/>
        <v>0</v>
      </c>
    </row>
    <row r="51" spans="2:8" x14ac:dyDescent="0.25">
      <c r="B51" s="4">
        <f t="shared" si="7"/>
        <v>42</v>
      </c>
      <c r="C51" s="1" t="s">
        <v>28</v>
      </c>
      <c r="D51" s="2" t="s">
        <v>228</v>
      </c>
      <c r="E51" s="1" t="s">
        <v>42</v>
      </c>
      <c r="F51" s="9">
        <f>'M. Nova'!F327</f>
        <v>6.9</v>
      </c>
      <c r="G51" s="7"/>
      <c r="H51" s="6">
        <f t="shared" si="6"/>
        <v>0</v>
      </c>
    </row>
    <row r="52" spans="2:8" x14ac:dyDescent="0.25">
      <c r="B52" s="4">
        <f t="shared" si="7"/>
        <v>43</v>
      </c>
      <c r="C52" s="1" t="s">
        <v>22</v>
      </c>
      <c r="D52" s="2" t="s">
        <v>229</v>
      </c>
      <c r="E52" s="1" t="s">
        <v>42</v>
      </c>
      <c r="F52" s="9">
        <f>'M. Nova'!F332</f>
        <v>6.9</v>
      </c>
      <c r="G52" s="7"/>
      <c r="H52" s="6">
        <f t="shared" si="6"/>
        <v>0</v>
      </c>
    </row>
    <row r="53" spans="2:8" x14ac:dyDescent="0.25">
      <c r="B53" s="4">
        <f t="shared" si="7"/>
        <v>44</v>
      </c>
      <c r="C53" s="1" t="s">
        <v>279</v>
      </c>
      <c r="D53" s="2" t="s">
        <v>280</v>
      </c>
      <c r="E53" s="1" t="s">
        <v>42</v>
      </c>
      <c r="F53" s="9">
        <f>'M. Nova'!F337</f>
        <v>10</v>
      </c>
      <c r="G53" s="7"/>
      <c r="H53" s="6">
        <f t="shared" si="6"/>
        <v>0</v>
      </c>
    </row>
    <row r="54" spans="2:8" x14ac:dyDescent="0.25">
      <c r="B54" s="4">
        <f t="shared" si="7"/>
        <v>45</v>
      </c>
      <c r="C54" s="1">
        <v>96399</v>
      </c>
      <c r="D54" s="2" t="s">
        <v>350</v>
      </c>
      <c r="E54" s="1" t="s">
        <v>44</v>
      </c>
      <c r="F54" s="9">
        <f>'M. Nova'!F342</f>
        <v>21.639975</v>
      </c>
      <c r="G54" s="7"/>
      <c r="H54" s="6">
        <f t="shared" si="6"/>
        <v>0</v>
      </c>
    </row>
    <row r="55" spans="2:8" x14ac:dyDescent="0.25">
      <c r="B55" s="4">
        <f t="shared" si="7"/>
        <v>46</v>
      </c>
      <c r="C55" s="1" t="s">
        <v>351</v>
      </c>
      <c r="D55" s="2" t="s">
        <v>352</v>
      </c>
      <c r="E55" s="1" t="s">
        <v>606</v>
      </c>
      <c r="F55" s="9">
        <f>'M. Nova'!F352</f>
        <v>757.39912500000003</v>
      </c>
      <c r="G55" s="7"/>
      <c r="H55" s="6">
        <f t="shared" si="6"/>
        <v>0</v>
      </c>
    </row>
    <row r="56" spans="2:8" x14ac:dyDescent="0.25">
      <c r="B56" s="4">
        <f t="shared" si="7"/>
        <v>47</v>
      </c>
      <c r="C56" s="1" t="s">
        <v>353</v>
      </c>
      <c r="D56" s="2" t="s">
        <v>354</v>
      </c>
      <c r="E56" s="1" t="s">
        <v>355</v>
      </c>
      <c r="F56" s="9">
        <f>'M. Nova'!F357</f>
        <v>30.295964999999999</v>
      </c>
      <c r="G56" s="7"/>
      <c r="H56" s="6">
        <f t="shared" si="6"/>
        <v>0</v>
      </c>
    </row>
    <row r="57" spans="2:8" x14ac:dyDescent="0.25">
      <c r="B57" s="4">
        <f t="shared" si="7"/>
        <v>48</v>
      </c>
      <c r="C57" s="1" t="s">
        <v>356</v>
      </c>
      <c r="D57" s="2" t="s">
        <v>357</v>
      </c>
      <c r="E57" s="1" t="s">
        <v>355</v>
      </c>
      <c r="F57" s="9">
        <f>'M. Nova'!F362</f>
        <v>30.295964999999999</v>
      </c>
      <c r="G57" s="7"/>
      <c r="H57" s="6">
        <f t="shared" si="6"/>
        <v>0</v>
      </c>
    </row>
    <row r="58" spans="2:8" x14ac:dyDescent="0.25">
      <c r="B58" s="4">
        <f t="shared" si="7"/>
        <v>49</v>
      </c>
      <c r="C58" s="1" t="s">
        <v>363</v>
      </c>
      <c r="D58" s="2" t="s">
        <v>364</v>
      </c>
      <c r="E58" s="1" t="s">
        <v>44</v>
      </c>
      <c r="F58" s="9">
        <f>'M. Nova'!F367</f>
        <v>14.42665</v>
      </c>
      <c r="G58" s="7"/>
      <c r="H58" s="6">
        <f t="shared" si="6"/>
        <v>0</v>
      </c>
    </row>
    <row r="59" spans="2:8" x14ac:dyDescent="0.25">
      <c r="B59" s="4">
        <f t="shared" si="7"/>
        <v>50</v>
      </c>
      <c r="C59" s="1" t="s">
        <v>365</v>
      </c>
      <c r="D59" s="2" t="s">
        <v>366</v>
      </c>
      <c r="E59" s="1" t="s">
        <v>43</v>
      </c>
      <c r="F59" s="9">
        <f>'M. Nova'!F377</f>
        <v>144.26650000000001</v>
      </c>
      <c r="G59" s="7"/>
      <c r="H59" s="6">
        <f t="shared" si="6"/>
        <v>0</v>
      </c>
    </row>
    <row r="60" spans="2:8" x14ac:dyDescent="0.25">
      <c r="B60" s="4">
        <f t="shared" si="7"/>
        <v>51</v>
      </c>
      <c r="C60" s="1" t="s">
        <v>367</v>
      </c>
      <c r="D60" s="2" t="s">
        <v>368</v>
      </c>
      <c r="E60" s="1" t="s">
        <v>369</v>
      </c>
      <c r="F60" s="9">
        <f>'M. Nova'!F387</f>
        <v>1750</v>
      </c>
      <c r="G60" s="7"/>
      <c r="H60" s="6">
        <f t="shared" si="6"/>
        <v>0</v>
      </c>
    </row>
    <row r="61" spans="2:8" x14ac:dyDescent="0.25">
      <c r="B61" s="4">
        <f t="shared" si="7"/>
        <v>52</v>
      </c>
      <c r="C61" s="1">
        <v>87261</v>
      </c>
      <c r="D61" s="2" t="s">
        <v>373</v>
      </c>
      <c r="E61" s="1" t="s">
        <v>43</v>
      </c>
      <c r="F61" s="9">
        <f>'M. Nova'!F392</f>
        <v>4.9419000000000004</v>
      </c>
      <c r="G61" s="7"/>
      <c r="H61" s="6"/>
    </row>
    <row r="62" spans="2:8" x14ac:dyDescent="0.25">
      <c r="B62" s="4">
        <f t="shared" si="7"/>
        <v>53</v>
      </c>
      <c r="C62" s="1" t="s">
        <v>374</v>
      </c>
      <c r="D62" s="2" t="s">
        <v>375</v>
      </c>
      <c r="E62" s="1" t="s">
        <v>43</v>
      </c>
      <c r="F62" s="9">
        <f>'M. Nova'!F397</f>
        <v>32.199999999999996</v>
      </c>
      <c r="G62" s="7"/>
      <c r="H62" s="6"/>
    </row>
    <row r="63" spans="2:8" x14ac:dyDescent="0.25">
      <c r="B63" s="4">
        <f t="shared" si="7"/>
        <v>54</v>
      </c>
      <c r="C63" s="1" t="s">
        <v>553</v>
      </c>
      <c r="D63" s="2" t="s">
        <v>403</v>
      </c>
      <c r="E63" s="1" t="s">
        <v>369</v>
      </c>
      <c r="F63" s="9">
        <f>'M. Nova'!F402</f>
        <v>1218.7327949999999</v>
      </c>
      <c r="G63" s="7"/>
      <c r="H63" s="6"/>
    </row>
    <row r="64" spans="2:8" x14ac:dyDescent="0.25">
      <c r="B64" s="4">
        <f t="shared" si="7"/>
        <v>55</v>
      </c>
      <c r="C64" s="1" t="s">
        <v>554</v>
      </c>
      <c r="D64" s="2" t="s">
        <v>555</v>
      </c>
      <c r="E64" s="1" t="s">
        <v>369</v>
      </c>
      <c r="F64" s="9">
        <f>'M. Nova'!F413</f>
        <v>1218.7327949999999</v>
      </c>
      <c r="G64" s="7"/>
      <c r="H64" s="6"/>
    </row>
    <row r="65" spans="2:8" x14ac:dyDescent="0.25">
      <c r="B65" s="4">
        <f t="shared" si="7"/>
        <v>56</v>
      </c>
      <c r="C65" s="1" t="s">
        <v>404</v>
      </c>
      <c r="D65" s="2" t="s">
        <v>405</v>
      </c>
      <c r="E65" s="1" t="s">
        <v>42</v>
      </c>
      <c r="F65" s="9">
        <f>'M. Nova'!F417</f>
        <v>40.130000000000003</v>
      </c>
      <c r="G65" s="7"/>
      <c r="H65" s="6"/>
    </row>
    <row r="66" spans="2:8" x14ac:dyDescent="0.25">
      <c r="B66" s="4">
        <f>B65+1</f>
        <v>57</v>
      </c>
      <c r="C66" s="1" t="s">
        <v>406</v>
      </c>
      <c r="D66" s="2" t="s">
        <v>407</v>
      </c>
      <c r="E66" s="1" t="s">
        <v>45</v>
      </c>
      <c r="F66" s="9">
        <f>'M. Nova'!F425</f>
        <v>80.260000000000005</v>
      </c>
      <c r="G66" s="7"/>
      <c r="H66" s="6"/>
    </row>
    <row r="67" spans="2:8" x14ac:dyDescent="0.25">
      <c r="B67" s="4">
        <f t="shared" si="7"/>
        <v>58</v>
      </c>
      <c r="C67" s="1" t="s">
        <v>15</v>
      </c>
      <c r="D67" s="2" t="s">
        <v>436</v>
      </c>
      <c r="E67" s="1" t="s">
        <v>44</v>
      </c>
      <c r="F67" s="9">
        <f>'M. Nova'!F430</f>
        <v>35.972000000000001</v>
      </c>
      <c r="G67" s="7"/>
      <c r="H67" s="6"/>
    </row>
    <row r="68" spans="2:8" ht="22.5" x14ac:dyDescent="0.25">
      <c r="B68" s="4">
        <f t="shared" si="7"/>
        <v>59</v>
      </c>
      <c r="C68" s="1" t="s">
        <v>17</v>
      </c>
      <c r="D68" s="2" t="s">
        <v>437</v>
      </c>
      <c r="E68" s="1" t="s">
        <v>43</v>
      </c>
      <c r="F68" s="9">
        <f>'M. Nova'!F435</f>
        <v>157.76</v>
      </c>
      <c r="G68" s="7"/>
      <c r="H68" s="6"/>
    </row>
    <row r="69" spans="2:8" ht="33.75" x14ac:dyDescent="0.25">
      <c r="B69" s="4">
        <f t="shared" si="7"/>
        <v>60</v>
      </c>
      <c r="C69" s="1" t="s">
        <v>558</v>
      </c>
      <c r="D69" s="2" t="s">
        <v>559</v>
      </c>
      <c r="E69" s="1" t="s">
        <v>44</v>
      </c>
      <c r="F69" s="9">
        <f>'M. Nova'!F443</f>
        <v>31.305350000000004</v>
      </c>
      <c r="G69" s="7"/>
      <c r="H69" s="6"/>
    </row>
    <row r="70" spans="2:8" x14ac:dyDescent="0.25">
      <c r="B70" s="4">
        <f t="shared" si="7"/>
        <v>61</v>
      </c>
      <c r="C70" s="1" t="s">
        <v>18</v>
      </c>
      <c r="D70" s="2" t="s">
        <v>438</v>
      </c>
      <c r="E70" s="1" t="s">
        <v>369</v>
      </c>
      <c r="F70" s="9">
        <f>'M. Nova'!F451</f>
        <v>855.14400000000001</v>
      </c>
      <c r="G70" s="7"/>
      <c r="H70" s="6"/>
    </row>
    <row r="71" spans="2:8" x14ac:dyDescent="0.25">
      <c r="B71" s="4">
        <f t="shared" si="7"/>
        <v>62</v>
      </c>
      <c r="C71" s="1" t="s">
        <v>21</v>
      </c>
      <c r="D71" s="2" t="s">
        <v>439</v>
      </c>
      <c r="E71" s="1" t="s">
        <v>369</v>
      </c>
      <c r="F71" s="9">
        <f>'M. Nova'!F458</f>
        <v>92.710599999999999</v>
      </c>
      <c r="G71" s="7"/>
      <c r="H71" s="6"/>
    </row>
    <row r="72" spans="2:8" ht="22.5" x14ac:dyDescent="0.25">
      <c r="B72" s="4">
        <f t="shared" si="7"/>
        <v>63</v>
      </c>
      <c r="C72" s="1" t="s">
        <v>19</v>
      </c>
      <c r="D72" s="2" t="s">
        <v>20</v>
      </c>
      <c r="E72" s="1" t="s">
        <v>43</v>
      </c>
      <c r="F72" s="9">
        <f>'M. Nova'!F465</f>
        <v>44</v>
      </c>
      <c r="G72" s="7"/>
      <c r="H72" s="6"/>
    </row>
    <row r="73" spans="2:8" ht="45" x14ac:dyDescent="0.25">
      <c r="B73" s="4">
        <f t="shared" si="7"/>
        <v>64</v>
      </c>
      <c r="C73" s="1" t="s">
        <v>494</v>
      </c>
      <c r="D73" s="2" t="s">
        <v>495</v>
      </c>
      <c r="E73" s="1" t="s">
        <v>43</v>
      </c>
      <c r="F73" s="9">
        <f>'M. Nova'!F470</f>
        <v>77.947400000000002</v>
      </c>
      <c r="G73" s="7"/>
      <c r="H73" s="6"/>
    </row>
    <row r="74" spans="2:8" ht="33.75" x14ac:dyDescent="0.25">
      <c r="B74" s="4">
        <f t="shared" si="7"/>
        <v>65</v>
      </c>
      <c r="C74" s="1" t="s">
        <v>503</v>
      </c>
      <c r="D74" s="2" t="s">
        <v>504</v>
      </c>
      <c r="E74" s="1" t="s">
        <v>43</v>
      </c>
      <c r="F74" s="9">
        <f>'M. Nova'!F477</f>
        <v>10.879</v>
      </c>
      <c r="G74" s="7"/>
      <c r="H74" s="6"/>
    </row>
    <row r="75" spans="2:8" ht="67.5" x14ac:dyDescent="0.25">
      <c r="B75" s="4">
        <f>B74+1</f>
        <v>66</v>
      </c>
      <c r="C75" s="1" t="s">
        <v>584</v>
      </c>
      <c r="D75" s="2" t="s">
        <v>585</v>
      </c>
      <c r="E75" s="1" t="s">
        <v>43</v>
      </c>
      <c r="F75" s="9">
        <f>'M. Nova'!F482</f>
        <v>245.10499999999999</v>
      </c>
      <c r="G75" s="7"/>
      <c r="H75" s="6"/>
    </row>
    <row r="76" spans="2:8" ht="33.75" x14ac:dyDescent="0.25">
      <c r="B76" s="4">
        <f t="shared" ref="B76:B80" si="8">B75+1</f>
        <v>67</v>
      </c>
      <c r="C76" s="1" t="s">
        <v>586</v>
      </c>
      <c r="D76" s="2" t="s">
        <v>587</v>
      </c>
      <c r="E76" s="1" t="s">
        <v>43</v>
      </c>
      <c r="F76" s="9">
        <f>'M. Nova'!F487</f>
        <v>245.10499999999999</v>
      </c>
      <c r="G76" s="7"/>
      <c r="H76" s="6"/>
    </row>
    <row r="77" spans="2:8" ht="33.75" x14ac:dyDescent="0.25">
      <c r="B77" s="4">
        <f t="shared" si="8"/>
        <v>68</v>
      </c>
      <c r="C77" s="1" t="s">
        <v>588</v>
      </c>
      <c r="D77" s="2" t="s">
        <v>589</v>
      </c>
      <c r="E77" s="1" t="s">
        <v>43</v>
      </c>
      <c r="F77" s="9">
        <f>'M. Nova'!F492</f>
        <v>245.10499999999999</v>
      </c>
      <c r="G77" s="7"/>
      <c r="H77" s="6"/>
    </row>
    <row r="78" spans="2:8" x14ac:dyDescent="0.25">
      <c r="B78" s="4">
        <f t="shared" si="8"/>
        <v>69</v>
      </c>
      <c r="C78" s="1">
        <v>101746</v>
      </c>
      <c r="D78" s="2" t="s">
        <v>590</v>
      </c>
      <c r="E78" s="1" t="s">
        <v>43</v>
      </c>
      <c r="F78" s="9">
        <f>'M. Nova'!F497</f>
        <v>245.10499999999999</v>
      </c>
      <c r="G78" s="7"/>
      <c r="H78" s="6"/>
    </row>
    <row r="79" spans="2:8" ht="56.25" x14ac:dyDescent="0.25">
      <c r="B79" s="4">
        <f t="shared" si="8"/>
        <v>70</v>
      </c>
      <c r="C79" s="1" t="s">
        <v>599</v>
      </c>
      <c r="D79" s="2" t="s">
        <v>600</v>
      </c>
      <c r="E79" s="1" t="s">
        <v>43</v>
      </c>
      <c r="F79" s="9">
        <f>'M. Nova'!F502</f>
        <v>245.10499999999999</v>
      </c>
      <c r="G79" s="7"/>
      <c r="H79" s="6"/>
    </row>
    <row r="80" spans="2:8" ht="22.5" x14ac:dyDescent="0.25">
      <c r="B80" s="4">
        <f t="shared" si="8"/>
        <v>71</v>
      </c>
      <c r="C80" s="1">
        <v>101010</v>
      </c>
      <c r="D80" s="2" t="s">
        <v>601</v>
      </c>
      <c r="E80" s="1" t="s">
        <v>355</v>
      </c>
      <c r="F80" s="9">
        <f>'M. Nova'!F507</f>
        <v>13.353320399999999</v>
      </c>
      <c r="G80" s="7"/>
      <c r="H80" s="6"/>
    </row>
    <row r="81" spans="2:8" ht="15.75" thickBot="1" x14ac:dyDescent="0.3">
      <c r="B81" s="59" t="s">
        <v>109</v>
      </c>
      <c r="C81" s="60"/>
      <c r="D81" s="60"/>
      <c r="E81" s="60"/>
      <c r="F81" s="60"/>
      <c r="G81" s="61"/>
      <c r="H81" s="11">
        <f>SUM(H45:H74)</f>
        <v>0</v>
      </c>
    </row>
    <row r="82" spans="2:8" x14ac:dyDescent="0.25">
      <c r="B82" s="56" t="s">
        <v>131</v>
      </c>
      <c r="C82" s="57"/>
      <c r="D82" s="57"/>
      <c r="E82" s="57"/>
      <c r="F82" s="57"/>
      <c r="G82" s="57"/>
      <c r="H82" s="58"/>
    </row>
    <row r="83" spans="2:8" x14ac:dyDescent="0.25">
      <c r="B83" s="4">
        <f>B80+1</f>
        <v>72</v>
      </c>
      <c r="C83" s="1" t="s">
        <v>564</v>
      </c>
      <c r="D83" s="2" t="s">
        <v>133</v>
      </c>
      <c r="E83" s="1" t="s">
        <v>45</v>
      </c>
      <c r="F83" s="9">
        <f>'M. Nova'!F513</f>
        <v>6</v>
      </c>
      <c r="G83" s="7"/>
      <c r="H83" s="6">
        <f t="shared" ref="H83:H96" si="9">TRUNC(G83*F83,2)</f>
        <v>0</v>
      </c>
    </row>
    <row r="84" spans="2:8" x14ac:dyDescent="0.25">
      <c r="B84" s="4">
        <f>B83+1</f>
        <v>73</v>
      </c>
      <c r="C84" s="1" t="s">
        <v>565</v>
      </c>
      <c r="D84" s="2" t="s">
        <v>134</v>
      </c>
      <c r="E84" s="1" t="s">
        <v>45</v>
      </c>
      <c r="F84" s="9">
        <f>'M. Nova'!F521</f>
        <v>6</v>
      </c>
      <c r="G84" s="7"/>
      <c r="H84" s="6">
        <f t="shared" si="9"/>
        <v>0</v>
      </c>
    </row>
    <row r="85" spans="2:8" x14ac:dyDescent="0.25">
      <c r="B85" s="4">
        <f>B84+1</f>
        <v>74</v>
      </c>
      <c r="C85" s="1" t="s">
        <v>566</v>
      </c>
      <c r="D85" s="2" t="s">
        <v>567</v>
      </c>
      <c r="E85" s="1" t="s">
        <v>45</v>
      </c>
      <c r="F85" s="9">
        <f>'M. Nova'!F529</f>
        <v>4</v>
      </c>
      <c r="G85" s="7"/>
      <c r="H85" s="6">
        <f t="shared" ref="H85" si="10">TRUNC(G85*F85,2)</f>
        <v>0</v>
      </c>
    </row>
    <row r="86" spans="2:8" x14ac:dyDescent="0.25">
      <c r="B86" s="4">
        <f>B85+1</f>
        <v>75</v>
      </c>
      <c r="C86" s="1" t="s">
        <v>136</v>
      </c>
      <c r="D86" s="2" t="s">
        <v>140</v>
      </c>
      <c r="E86" s="1" t="s">
        <v>45</v>
      </c>
      <c r="F86" s="9">
        <f>'M. Nova'!F534</f>
        <v>2</v>
      </c>
      <c r="G86" s="7"/>
      <c r="H86" s="6">
        <f t="shared" si="9"/>
        <v>0</v>
      </c>
    </row>
    <row r="87" spans="2:8" x14ac:dyDescent="0.25">
      <c r="B87" s="4">
        <f t="shared" ref="B87:B94" si="11">B86+1</f>
        <v>76</v>
      </c>
      <c r="C87" s="1" t="s">
        <v>137</v>
      </c>
      <c r="D87" s="2" t="s">
        <v>141</v>
      </c>
      <c r="E87" s="1" t="s">
        <v>45</v>
      </c>
      <c r="F87" s="9">
        <f>'M. Nova'!F541</f>
        <v>3</v>
      </c>
      <c r="G87" s="7"/>
      <c r="H87" s="6">
        <f t="shared" si="9"/>
        <v>0</v>
      </c>
    </row>
    <row r="88" spans="2:8" x14ac:dyDescent="0.25">
      <c r="B88" s="4">
        <f t="shared" si="11"/>
        <v>77</v>
      </c>
      <c r="C88" s="1" t="s">
        <v>138</v>
      </c>
      <c r="D88" s="2" t="s">
        <v>142</v>
      </c>
      <c r="E88" s="1" t="s">
        <v>45</v>
      </c>
      <c r="F88" s="9">
        <f>'M. Nova'!F549</f>
        <v>8</v>
      </c>
      <c r="G88" s="7"/>
      <c r="H88" s="6">
        <f t="shared" si="9"/>
        <v>0</v>
      </c>
    </row>
    <row r="89" spans="2:8" x14ac:dyDescent="0.25">
      <c r="B89" s="4">
        <f t="shared" si="11"/>
        <v>78</v>
      </c>
      <c r="C89" s="1" t="s">
        <v>139</v>
      </c>
      <c r="D89" s="2" t="s">
        <v>143</v>
      </c>
      <c r="E89" s="1" t="s">
        <v>45</v>
      </c>
      <c r="F89" s="9">
        <f>'M. Nova'!F558</f>
        <v>1</v>
      </c>
      <c r="G89" s="7"/>
      <c r="H89" s="6">
        <f t="shared" si="9"/>
        <v>0</v>
      </c>
    </row>
    <row r="90" spans="2:8" x14ac:dyDescent="0.25">
      <c r="B90" s="4">
        <f t="shared" si="11"/>
        <v>79</v>
      </c>
      <c r="C90" s="1" t="s">
        <v>291</v>
      </c>
      <c r="D90" s="2" t="s">
        <v>292</v>
      </c>
      <c r="E90" s="1" t="s">
        <v>43</v>
      </c>
      <c r="F90" s="9">
        <f>'M. Nova'!F563</f>
        <v>44.150000000000006</v>
      </c>
      <c r="G90" s="7"/>
      <c r="H90" s="6">
        <f t="shared" si="9"/>
        <v>0</v>
      </c>
    </row>
    <row r="91" spans="2:8" ht="22.5" x14ac:dyDescent="0.25">
      <c r="B91" s="4">
        <f t="shared" si="11"/>
        <v>80</v>
      </c>
      <c r="C91" s="1" t="s">
        <v>459</v>
      </c>
      <c r="D91" s="2" t="s">
        <v>460</v>
      </c>
      <c r="E91" s="1" t="s">
        <v>43</v>
      </c>
      <c r="F91" s="9">
        <f>'M. Nova'!F573</f>
        <v>9.6000000000000014</v>
      </c>
      <c r="G91" s="7"/>
      <c r="H91" s="6">
        <f t="shared" si="9"/>
        <v>0</v>
      </c>
    </row>
    <row r="92" spans="2:8" ht="33.75" x14ac:dyDescent="0.25">
      <c r="B92" s="4">
        <f t="shared" si="11"/>
        <v>81</v>
      </c>
      <c r="C92" s="1">
        <v>100674</v>
      </c>
      <c r="D92" s="2" t="s">
        <v>570</v>
      </c>
      <c r="E92" s="1" t="s">
        <v>43</v>
      </c>
      <c r="F92" s="9">
        <f>'M. Nova'!F578</f>
        <v>9.2420000000000009</v>
      </c>
      <c r="G92" s="7"/>
      <c r="H92" s="6">
        <f t="shared" si="9"/>
        <v>0</v>
      </c>
    </row>
    <row r="93" spans="2:8" ht="22.5" x14ac:dyDescent="0.25">
      <c r="B93" s="4">
        <f t="shared" si="11"/>
        <v>82</v>
      </c>
      <c r="C93" s="1" t="s">
        <v>490</v>
      </c>
      <c r="D93" s="2" t="s">
        <v>491</v>
      </c>
      <c r="E93" s="1" t="s">
        <v>43</v>
      </c>
      <c r="F93" s="9">
        <f>'M. Nova'!F585</f>
        <v>6.8</v>
      </c>
      <c r="G93" s="7"/>
      <c r="H93" s="6">
        <f t="shared" si="9"/>
        <v>0</v>
      </c>
    </row>
    <row r="94" spans="2:8" ht="33.75" x14ac:dyDescent="0.25">
      <c r="B94" s="4">
        <f t="shared" si="11"/>
        <v>83</v>
      </c>
      <c r="C94" s="1" t="s">
        <v>528</v>
      </c>
      <c r="D94" s="2" t="s">
        <v>529</v>
      </c>
      <c r="E94" s="1" t="s">
        <v>45</v>
      </c>
      <c r="F94" s="9">
        <f>'M. Nova'!F590</f>
        <v>3</v>
      </c>
      <c r="G94" s="7"/>
      <c r="H94" s="6">
        <f t="shared" si="9"/>
        <v>0</v>
      </c>
    </row>
    <row r="95" spans="2:8" ht="33.75" x14ac:dyDescent="0.25">
      <c r="B95" s="4">
        <f>B94+1</f>
        <v>84</v>
      </c>
      <c r="C95" s="1" t="s">
        <v>530</v>
      </c>
      <c r="D95" s="2" t="s">
        <v>531</v>
      </c>
      <c r="E95" s="1" t="s">
        <v>45</v>
      </c>
      <c r="F95" s="9">
        <f>'M. Nova'!F595</f>
        <v>1</v>
      </c>
      <c r="G95" s="7"/>
      <c r="H95" s="6"/>
    </row>
    <row r="96" spans="2:8" ht="22.5" x14ac:dyDescent="0.25">
      <c r="B96" s="4">
        <f>B95+1</f>
        <v>85</v>
      </c>
      <c r="C96" s="1" t="s">
        <v>532</v>
      </c>
      <c r="D96" s="2" t="s">
        <v>533</v>
      </c>
      <c r="E96" s="1" t="s">
        <v>43</v>
      </c>
      <c r="F96" s="9">
        <f>'M. Nova'!F600</f>
        <v>6.7200000000000006</v>
      </c>
      <c r="G96" s="7"/>
      <c r="H96" s="6">
        <f t="shared" si="9"/>
        <v>0</v>
      </c>
    </row>
    <row r="97" spans="2:8" ht="67.5" x14ac:dyDescent="0.25">
      <c r="B97" s="4">
        <f>B96+1</f>
        <v>86</v>
      </c>
      <c r="C97" s="1" t="s">
        <v>593</v>
      </c>
      <c r="D97" s="2" t="s">
        <v>594</v>
      </c>
      <c r="E97" s="1" t="s">
        <v>45</v>
      </c>
      <c r="F97" s="9">
        <f>'M. Nova'!F605</f>
        <v>8</v>
      </c>
      <c r="G97" s="7"/>
      <c r="H97" s="6">
        <f t="shared" ref="H97" si="12">TRUNC(G97*F97,2)</f>
        <v>0</v>
      </c>
    </row>
    <row r="98" spans="2:8" ht="15.75" thickBot="1" x14ac:dyDescent="0.3">
      <c r="B98" s="59" t="s">
        <v>132</v>
      </c>
      <c r="C98" s="60"/>
      <c r="D98" s="60"/>
      <c r="E98" s="60"/>
      <c r="F98" s="60"/>
      <c r="G98" s="61"/>
      <c r="H98" s="11">
        <f>SUM(H83:H96)</f>
        <v>0</v>
      </c>
    </row>
    <row r="99" spans="2:8" x14ac:dyDescent="0.25">
      <c r="B99" s="56" t="s">
        <v>148</v>
      </c>
      <c r="C99" s="57"/>
      <c r="D99" s="57"/>
      <c r="E99" s="57"/>
      <c r="F99" s="57"/>
      <c r="G99" s="57"/>
      <c r="H99" s="58"/>
    </row>
    <row r="100" spans="2:8" x14ac:dyDescent="0.25">
      <c r="B100" s="4">
        <f>B97+1</f>
        <v>87</v>
      </c>
      <c r="C100" s="1">
        <v>101966</v>
      </c>
      <c r="D100" s="2" t="s">
        <v>409</v>
      </c>
      <c r="E100" s="1" t="s">
        <v>42</v>
      </c>
      <c r="F100" s="9">
        <f>'M. Nova'!F611</f>
        <v>69.28</v>
      </c>
      <c r="G100" s="7"/>
      <c r="H100" s="6">
        <f t="shared" ref="H100:H108" si="13">TRUNC(G100*F100,2)</f>
        <v>0</v>
      </c>
    </row>
    <row r="101" spans="2:8" x14ac:dyDescent="0.25">
      <c r="B101" s="4">
        <f>B100+1</f>
        <v>88</v>
      </c>
      <c r="C101" s="1" t="s">
        <v>226</v>
      </c>
      <c r="D101" s="2" t="s">
        <v>583</v>
      </c>
      <c r="E101" s="1" t="s">
        <v>43</v>
      </c>
      <c r="F101" s="9">
        <f>'M. Nova'!F618</f>
        <v>163.86070000000001</v>
      </c>
      <c r="G101" s="7"/>
      <c r="H101" s="6">
        <f t="shared" si="13"/>
        <v>0</v>
      </c>
    </row>
    <row r="102" spans="2:8" x14ac:dyDescent="0.25">
      <c r="B102" s="4">
        <f t="shared" ref="B102:B108" si="14">B101+1</f>
        <v>89</v>
      </c>
      <c r="C102" s="1" t="s">
        <v>227</v>
      </c>
      <c r="D102" s="2" t="s">
        <v>582</v>
      </c>
      <c r="E102" s="1" t="s">
        <v>43</v>
      </c>
      <c r="F102" s="9">
        <f>'M. Nova'!F628</f>
        <v>163.86070000000001</v>
      </c>
      <c r="G102" s="7"/>
      <c r="H102" s="6">
        <f t="shared" si="13"/>
        <v>0</v>
      </c>
    </row>
    <row r="103" spans="2:8" x14ac:dyDescent="0.25">
      <c r="B103" s="4">
        <f t="shared" si="14"/>
        <v>90</v>
      </c>
      <c r="C103" s="1" t="s">
        <v>231</v>
      </c>
      <c r="D103" s="2" t="s">
        <v>234</v>
      </c>
      <c r="E103" s="1" t="s">
        <v>42</v>
      </c>
      <c r="F103" s="9">
        <f>'M. Nova'!F638</f>
        <v>60</v>
      </c>
      <c r="G103" s="7"/>
      <c r="H103" s="6">
        <f t="shared" si="13"/>
        <v>0</v>
      </c>
    </row>
    <row r="104" spans="2:8" x14ac:dyDescent="0.25">
      <c r="B104" s="4">
        <f t="shared" si="14"/>
        <v>91</v>
      </c>
      <c r="C104" s="1" t="s">
        <v>233</v>
      </c>
      <c r="D104" s="2" t="s">
        <v>235</v>
      </c>
      <c r="E104" s="1" t="s">
        <v>42</v>
      </c>
      <c r="F104" s="9">
        <f>'M. Nova'!F643</f>
        <v>49.970000000000006</v>
      </c>
      <c r="G104" s="7"/>
      <c r="H104" s="6">
        <f t="shared" si="13"/>
        <v>0</v>
      </c>
    </row>
    <row r="105" spans="2:8" x14ac:dyDescent="0.25">
      <c r="B105" s="4">
        <f t="shared" si="14"/>
        <v>92</v>
      </c>
      <c r="C105" s="1" t="s">
        <v>26</v>
      </c>
      <c r="D105" s="2" t="s">
        <v>261</v>
      </c>
      <c r="E105" s="1" t="s">
        <v>42</v>
      </c>
      <c r="F105" s="9">
        <f>'M. Nova'!F653</f>
        <v>69</v>
      </c>
      <c r="G105" s="7"/>
      <c r="H105" s="6">
        <f t="shared" si="13"/>
        <v>0</v>
      </c>
    </row>
    <row r="106" spans="2:8" x14ac:dyDescent="0.25">
      <c r="B106" s="4">
        <f t="shared" si="14"/>
        <v>93</v>
      </c>
      <c r="C106" s="1" t="s">
        <v>27</v>
      </c>
      <c r="D106" s="2" t="s">
        <v>263</v>
      </c>
      <c r="E106" s="1" t="s">
        <v>42</v>
      </c>
      <c r="F106" s="9">
        <f>'M. Nova'!F664</f>
        <v>205.5</v>
      </c>
      <c r="G106" s="7"/>
      <c r="H106" s="6">
        <f t="shared" si="13"/>
        <v>0</v>
      </c>
    </row>
    <row r="107" spans="2:8" x14ac:dyDescent="0.25">
      <c r="B107" s="4">
        <f t="shared" si="14"/>
        <v>94</v>
      </c>
      <c r="C107" s="1" t="s">
        <v>345</v>
      </c>
      <c r="D107" s="2" t="s">
        <v>346</v>
      </c>
      <c r="E107" s="1" t="s">
        <v>43</v>
      </c>
      <c r="F107" s="9">
        <f>'M. Nova'!F673</f>
        <v>124.5531</v>
      </c>
      <c r="G107" s="7"/>
      <c r="H107" s="6">
        <f t="shared" si="13"/>
        <v>0</v>
      </c>
    </row>
    <row r="108" spans="2:8" x14ac:dyDescent="0.25">
      <c r="B108" s="4">
        <f t="shared" si="14"/>
        <v>95</v>
      </c>
      <c r="C108" s="1" t="s">
        <v>410</v>
      </c>
      <c r="D108" s="2" t="s">
        <v>411</v>
      </c>
      <c r="E108" s="1" t="s">
        <v>42</v>
      </c>
      <c r="F108" s="9">
        <f>'M. Nova'!F680</f>
        <v>24.740000000000002</v>
      </c>
      <c r="G108" s="7"/>
      <c r="H108" s="6">
        <f t="shared" si="13"/>
        <v>0</v>
      </c>
    </row>
    <row r="109" spans="2:8" ht="15.75" thickBot="1" x14ac:dyDescent="0.3">
      <c r="B109" s="59" t="s">
        <v>147</v>
      </c>
      <c r="C109" s="60"/>
      <c r="D109" s="60"/>
      <c r="E109" s="60"/>
      <c r="F109" s="60"/>
      <c r="G109" s="61"/>
      <c r="H109" s="11">
        <f>SUM(H100:H108)</f>
        <v>0</v>
      </c>
    </row>
    <row r="110" spans="2:8" x14ac:dyDescent="0.25">
      <c r="B110" s="56" t="s">
        <v>149</v>
      </c>
      <c r="C110" s="57"/>
      <c r="D110" s="57"/>
      <c r="E110" s="57"/>
      <c r="F110" s="57"/>
      <c r="G110" s="57"/>
      <c r="H110" s="58"/>
    </row>
    <row r="111" spans="2:8" x14ac:dyDescent="0.25">
      <c r="B111" s="4">
        <f>B108+1</f>
        <v>96</v>
      </c>
      <c r="C111" s="22" t="s">
        <v>23</v>
      </c>
      <c r="D111" s="2" t="s">
        <v>548</v>
      </c>
      <c r="E111" s="1" t="s">
        <v>43</v>
      </c>
      <c r="F111" s="9">
        <f>'M. Nova'!F690</f>
        <v>361.05</v>
      </c>
      <c r="G111" s="7"/>
      <c r="H111" s="6">
        <f t="shared" ref="H111:H113" si="15">TRUNC(G111*F111,2)</f>
        <v>0</v>
      </c>
    </row>
    <row r="112" spans="2:8" x14ac:dyDescent="0.25">
      <c r="B112" s="4">
        <f>B111+1</f>
        <v>97</v>
      </c>
      <c r="C112" s="1" t="s">
        <v>24</v>
      </c>
      <c r="D112" s="2" t="s">
        <v>156</v>
      </c>
      <c r="E112" s="1" t="s">
        <v>43</v>
      </c>
      <c r="F112" s="9">
        <f>'M. Nova'!F698</f>
        <v>361.05</v>
      </c>
      <c r="G112" s="7"/>
      <c r="H112" s="6">
        <f t="shared" si="15"/>
        <v>0</v>
      </c>
    </row>
    <row r="113" spans="2:8" x14ac:dyDescent="0.25">
      <c r="B113" s="4">
        <f t="shared" ref="B113" si="16">B112+1</f>
        <v>98</v>
      </c>
      <c r="C113" s="1" t="s">
        <v>25</v>
      </c>
      <c r="D113" s="2" t="s">
        <v>157</v>
      </c>
      <c r="E113" s="1" t="s">
        <v>43</v>
      </c>
      <c r="F113" s="9">
        <f>'M. Nova'!F700</f>
        <v>361.05</v>
      </c>
      <c r="G113" s="7"/>
      <c r="H113" s="6">
        <f t="shared" si="15"/>
        <v>0</v>
      </c>
    </row>
    <row r="114" spans="2:8" ht="15.75" thickBot="1" x14ac:dyDescent="0.3">
      <c r="B114" s="59" t="s">
        <v>158</v>
      </c>
      <c r="C114" s="60"/>
      <c r="D114" s="60"/>
      <c r="E114" s="60"/>
      <c r="F114" s="60"/>
      <c r="G114" s="61"/>
      <c r="H114" s="11">
        <f>SUM(H111:H113)</f>
        <v>0</v>
      </c>
    </row>
    <row r="115" spans="2:8" x14ac:dyDescent="0.25">
      <c r="B115" s="56" t="s">
        <v>383</v>
      </c>
      <c r="C115" s="57"/>
      <c r="D115" s="57"/>
      <c r="E115" s="57"/>
      <c r="F115" s="57"/>
      <c r="G115" s="57"/>
      <c r="H115" s="58"/>
    </row>
    <row r="116" spans="2:8" x14ac:dyDescent="0.25">
      <c r="B116" s="4">
        <f>B113+1</f>
        <v>99</v>
      </c>
      <c r="C116" s="22" t="s">
        <v>201</v>
      </c>
      <c r="D116" s="2" t="s">
        <v>443</v>
      </c>
      <c r="E116" s="1" t="s">
        <v>43</v>
      </c>
      <c r="F116" s="9">
        <f>'M. Nova'!F703</f>
        <v>115.09</v>
      </c>
      <c r="G116" s="7"/>
      <c r="H116" s="6">
        <f t="shared" ref="H116:H124" si="17">TRUNC(G116*F116,2)</f>
        <v>0</v>
      </c>
    </row>
    <row r="117" spans="2:8" x14ac:dyDescent="0.25">
      <c r="B117" s="4">
        <f t="shared" ref="B117:B123" si="18">B116+1</f>
        <v>100</v>
      </c>
      <c r="C117" s="22" t="s">
        <v>205</v>
      </c>
      <c r="D117" s="2" t="s">
        <v>206</v>
      </c>
      <c r="E117" s="1" t="s">
        <v>43</v>
      </c>
      <c r="F117" s="9">
        <f>'M. Nova'!F714</f>
        <v>177.77000000000004</v>
      </c>
      <c r="G117" s="7"/>
      <c r="H117" s="6">
        <f t="shared" si="17"/>
        <v>0</v>
      </c>
    </row>
    <row r="118" spans="2:8" x14ac:dyDescent="0.25">
      <c r="B118" s="4">
        <f t="shared" si="18"/>
        <v>101</v>
      </c>
      <c r="C118" s="22" t="s">
        <v>207</v>
      </c>
      <c r="D118" s="2" t="s">
        <v>35</v>
      </c>
      <c r="E118" s="1" t="s">
        <v>43</v>
      </c>
      <c r="F118" s="9">
        <f>'M. Nova'!F723</f>
        <v>359.2</v>
      </c>
      <c r="G118" s="7"/>
      <c r="H118" s="6">
        <f t="shared" si="17"/>
        <v>0</v>
      </c>
    </row>
    <row r="119" spans="2:8" x14ac:dyDescent="0.25">
      <c r="B119" s="4">
        <f t="shared" si="18"/>
        <v>102</v>
      </c>
      <c r="C119" s="22" t="s">
        <v>208</v>
      </c>
      <c r="D119" s="2" t="s">
        <v>210</v>
      </c>
      <c r="E119" s="1" t="s">
        <v>43</v>
      </c>
      <c r="F119" s="9">
        <f>'M. Nova'!F731</f>
        <v>2584.4699999999998</v>
      </c>
      <c r="G119" s="7"/>
      <c r="H119" s="6">
        <f t="shared" si="17"/>
        <v>0</v>
      </c>
    </row>
    <row r="120" spans="2:8" x14ac:dyDescent="0.25">
      <c r="B120" s="4">
        <f t="shared" si="18"/>
        <v>103</v>
      </c>
      <c r="C120" s="22" t="s">
        <v>209</v>
      </c>
      <c r="D120" s="2" t="s">
        <v>211</v>
      </c>
      <c r="E120" s="1" t="s">
        <v>43</v>
      </c>
      <c r="F120" s="9">
        <f>'M. Nova'!F748</f>
        <v>2584.4699999999998</v>
      </c>
      <c r="G120" s="7"/>
      <c r="H120" s="6">
        <f t="shared" si="17"/>
        <v>0</v>
      </c>
    </row>
    <row r="121" spans="2:8" x14ac:dyDescent="0.25">
      <c r="B121" s="4">
        <f t="shared" si="18"/>
        <v>104</v>
      </c>
      <c r="C121" s="22" t="s">
        <v>212</v>
      </c>
      <c r="D121" s="2" t="s">
        <v>213</v>
      </c>
      <c r="E121" s="1" t="s">
        <v>43</v>
      </c>
      <c r="F121" s="9">
        <f>'M. Nova'!F753</f>
        <v>2584.4699999999998</v>
      </c>
      <c r="G121" s="7"/>
      <c r="H121" s="6">
        <f t="shared" si="17"/>
        <v>0</v>
      </c>
    </row>
    <row r="122" spans="2:8" x14ac:dyDescent="0.25">
      <c r="B122" s="4">
        <f t="shared" si="18"/>
        <v>105</v>
      </c>
      <c r="C122" s="22" t="s">
        <v>224</v>
      </c>
      <c r="D122" s="2" t="s">
        <v>225</v>
      </c>
      <c r="E122" s="1" t="s">
        <v>43</v>
      </c>
      <c r="F122" s="9">
        <f>'M. Nova'!F758</f>
        <v>51.70000000000001</v>
      </c>
      <c r="G122" s="7"/>
      <c r="H122" s="6">
        <f t="shared" si="17"/>
        <v>0</v>
      </c>
    </row>
    <row r="123" spans="2:8" x14ac:dyDescent="0.25">
      <c r="B123" s="4">
        <f t="shared" si="18"/>
        <v>106</v>
      </c>
      <c r="C123" s="1" t="s">
        <v>384</v>
      </c>
      <c r="D123" s="2" t="s">
        <v>385</v>
      </c>
      <c r="E123" s="1" t="s">
        <v>43</v>
      </c>
      <c r="F123" s="9">
        <f>'M. Nova'!F768</f>
        <v>93.951700000000002</v>
      </c>
      <c r="G123" s="7"/>
      <c r="H123" s="6">
        <f t="shared" si="17"/>
        <v>0</v>
      </c>
    </row>
    <row r="124" spans="2:8" ht="22.5" x14ac:dyDescent="0.25">
      <c r="B124" s="4">
        <f t="shared" ref="B124" si="19">B123+1</f>
        <v>107</v>
      </c>
      <c r="C124" s="1" t="s">
        <v>484</v>
      </c>
      <c r="D124" s="2" t="s">
        <v>485</v>
      </c>
      <c r="E124" s="1" t="s">
        <v>43</v>
      </c>
      <c r="F124" s="9">
        <f>'M. Nova'!F777</f>
        <v>101.58510000000001</v>
      </c>
      <c r="G124" s="7"/>
      <c r="H124" s="6">
        <f t="shared" si="17"/>
        <v>0</v>
      </c>
    </row>
    <row r="125" spans="2:8" ht="15.75" thickBot="1" x14ac:dyDescent="0.3">
      <c r="B125" s="59" t="s">
        <v>159</v>
      </c>
      <c r="C125" s="60"/>
      <c r="D125" s="60"/>
      <c r="E125" s="60"/>
      <c r="F125" s="60"/>
      <c r="G125" s="61"/>
      <c r="H125" s="11">
        <f>SUM(H116:H124)</f>
        <v>0</v>
      </c>
    </row>
    <row r="126" spans="2:8" x14ac:dyDescent="0.25">
      <c r="B126" s="56" t="s">
        <v>165</v>
      </c>
      <c r="C126" s="57"/>
      <c r="D126" s="57"/>
      <c r="E126" s="57"/>
      <c r="F126" s="57"/>
      <c r="G126" s="57"/>
      <c r="H126" s="58"/>
    </row>
    <row r="127" spans="2:8" x14ac:dyDescent="0.25">
      <c r="B127" s="4">
        <f>B124+1</f>
        <v>108</v>
      </c>
      <c r="C127" s="22" t="s">
        <v>166</v>
      </c>
      <c r="D127" s="2" t="s">
        <v>167</v>
      </c>
      <c r="E127" s="1" t="s">
        <v>42</v>
      </c>
      <c r="F127" s="9">
        <f>'M. Nova'!F785</f>
        <v>536.51</v>
      </c>
      <c r="G127" s="7"/>
      <c r="H127" s="6">
        <f t="shared" ref="H127:H173" si="20">TRUNC(G127*F127,2)</f>
        <v>0</v>
      </c>
    </row>
    <row r="128" spans="2:8" x14ac:dyDescent="0.25">
      <c r="B128" s="4">
        <f t="shared" ref="B128:B173" si="21">B127+1</f>
        <v>109</v>
      </c>
      <c r="C128" s="22" t="s">
        <v>168</v>
      </c>
      <c r="D128" s="2" t="s">
        <v>511</v>
      </c>
      <c r="E128" s="1" t="s">
        <v>42</v>
      </c>
      <c r="F128" s="9">
        <f>'M. Nova'!F794</f>
        <v>566.72</v>
      </c>
      <c r="G128" s="7"/>
      <c r="H128" s="6">
        <f t="shared" si="20"/>
        <v>0</v>
      </c>
    </row>
    <row r="129" spans="2:8" x14ac:dyDescent="0.25">
      <c r="B129" s="4">
        <f t="shared" si="21"/>
        <v>110</v>
      </c>
      <c r="C129" s="22" t="s">
        <v>169</v>
      </c>
      <c r="D129" s="2" t="s">
        <v>170</v>
      </c>
      <c r="E129" s="1" t="s">
        <v>42</v>
      </c>
      <c r="F129" s="9">
        <f>'M. Nova'!F804</f>
        <v>595.72</v>
      </c>
      <c r="G129" s="7"/>
      <c r="H129" s="6">
        <f t="shared" si="20"/>
        <v>0</v>
      </c>
    </row>
    <row r="130" spans="2:8" x14ac:dyDescent="0.25">
      <c r="B130" s="4">
        <f t="shared" si="21"/>
        <v>111</v>
      </c>
      <c r="C130" s="22" t="s">
        <v>178</v>
      </c>
      <c r="D130" s="2" t="s">
        <v>179</v>
      </c>
      <c r="E130" s="1" t="s">
        <v>45</v>
      </c>
      <c r="F130" s="9">
        <f>'M. Nova'!F814</f>
        <v>2</v>
      </c>
      <c r="G130" s="7"/>
      <c r="H130" s="6">
        <f t="shared" si="20"/>
        <v>0</v>
      </c>
    </row>
    <row r="131" spans="2:8" x14ac:dyDescent="0.25">
      <c r="B131" s="4">
        <f t="shared" si="21"/>
        <v>112</v>
      </c>
      <c r="C131" s="1" t="s">
        <v>181</v>
      </c>
      <c r="D131" s="2" t="s">
        <v>182</v>
      </c>
      <c r="E131" s="1" t="s">
        <v>45</v>
      </c>
      <c r="F131" s="9">
        <f>'M. Nova'!F819</f>
        <v>63</v>
      </c>
      <c r="G131" s="7"/>
      <c r="H131" s="6">
        <f t="shared" si="20"/>
        <v>0</v>
      </c>
    </row>
    <row r="132" spans="2:8" x14ac:dyDescent="0.25">
      <c r="B132" s="4">
        <f t="shared" si="21"/>
        <v>113</v>
      </c>
      <c r="C132" s="1" t="s">
        <v>188</v>
      </c>
      <c r="D132" s="2" t="s">
        <v>189</v>
      </c>
      <c r="E132" s="1" t="s">
        <v>45</v>
      </c>
      <c r="F132" s="9">
        <f>'M. Nova'!F843</f>
        <v>128</v>
      </c>
      <c r="G132" s="7"/>
      <c r="H132" s="6">
        <f t="shared" si="20"/>
        <v>0</v>
      </c>
    </row>
    <row r="133" spans="2:8" x14ac:dyDescent="0.25">
      <c r="B133" s="4">
        <f t="shared" si="21"/>
        <v>114</v>
      </c>
      <c r="C133" s="1" t="s">
        <v>236</v>
      </c>
      <c r="D133" s="2" t="s">
        <v>238</v>
      </c>
      <c r="E133" s="1" t="s">
        <v>45</v>
      </c>
      <c r="F133" s="9">
        <f>'M. Nova'!F866</f>
        <v>1</v>
      </c>
      <c r="G133" s="7"/>
      <c r="H133" s="6">
        <f t="shared" si="20"/>
        <v>0</v>
      </c>
    </row>
    <row r="134" spans="2:8" x14ac:dyDescent="0.25">
      <c r="B134" s="4">
        <f t="shared" si="21"/>
        <v>115</v>
      </c>
      <c r="C134" s="1" t="s">
        <v>237</v>
      </c>
      <c r="D134" s="2" t="s">
        <v>239</v>
      </c>
      <c r="E134" s="1" t="s">
        <v>45</v>
      </c>
      <c r="F134" s="9">
        <f>'M. Nova'!F871</f>
        <v>1</v>
      </c>
      <c r="G134" s="7"/>
      <c r="H134" s="6">
        <f t="shared" si="20"/>
        <v>0</v>
      </c>
    </row>
    <row r="135" spans="2:8" x14ac:dyDescent="0.25">
      <c r="B135" s="4">
        <f t="shared" si="21"/>
        <v>116</v>
      </c>
      <c r="C135" s="1" t="s">
        <v>240</v>
      </c>
      <c r="D135" s="2" t="s">
        <v>241</v>
      </c>
      <c r="E135" s="1" t="s">
        <v>45</v>
      </c>
      <c r="F135" s="9">
        <f>'M. Nova'!F876</f>
        <v>3</v>
      </c>
      <c r="G135" s="7"/>
      <c r="H135" s="6">
        <f t="shared" si="20"/>
        <v>0</v>
      </c>
    </row>
    <row r="136" spans="2:8" x14ac:dyDescent="0.25">
      <c r="B136" s="4">
        <f t="shared" si="21"/>
        <v>117</v>
      </c>
      <c r="C136" s="1" t="s">
        <v>242</v>
      </c>
      <c r="D136" s="2" t="s">
        <v>243</v>
      </c>
      <c r="E136" s="1" t="s">
        <v>45</v>
      </c>
      <c r="F136" s="9">
        <f>'M. Nova'!F881</f>
        <v>9</v>
      </c>
      <c r="G136" s="7"/>
      <c r="H136" s="6">
        <f t="shared" si="20"/>
        <v>0</v>
      </c>
    </row>
    <row r="137" spans="2:8" x14ac:dyDescent="0.25">
      <c r="B137" s="4">
        <f t="shared" si="21"/>
        <v>118</v>
      </c>
      <c r="C137" s="1" t="s">
        <v>244</v>
      </c>
      <c r="D137" s="2" t="s">
        <v>245</v>
      </c>
      <c r="E137" s="1" t="s">
        <v>45</v>
      </c>
      <c r="F137" s="9">
        <f>'M. Nova'!F886</f>
        <v>27</v>
      </c>
      <c r="G137" s="7"/>
      <c r="H137" s="6">
        <f t="shared" si="20"/>
        <v>0</v>
      </c>
    </row>
    <row r="138" spans="2:8" x14ac:dyDescent="0.25">
      <c r="B138" s="4">
        <f t="shared" si="21"/>
        <v>119</v>
      </c>
      <c r="C138" s="1" t="s">
        <v>246</v>
      </c>
      <c r="D138" s="2" t="s">
        <v>247</v>
      </c>
      <c r="E138" s="1" t="s">
        <v>45</v>
      </c>
      <c r="F138" s="9">
        <f>'M. Nova'!F891</f>
        <v>4</v>
      </c>
      <c r="G138" s="7"/>
      <c r="H138" s="6">
        <f t="shared" si="20"/>
        <v>0</v>
      </c>
    </row>
    <row r="139" spans="2:8" x14ac:dyDescent="0.25">
      <c r="B139" s="4">
        <f t="shared" si="21"/>
        <v>120</v>
      </c>
      <c r="C139" s="1" t="s">
        <v>248</v>
      </c>
      <c r="D139" s="2" t="s">
        <v>249</v>
      </c>
      <c r="E139" s="1" t="s">
        <v>42</v>
      </c>
      <c r="F139" s="9">
        <f>'M. Nova'!F896</f>
        <v>500</v>
      </c>
      <c r="G139" s="7"/>
      <c r="H139" s="6">
        <f t="shared" si="20"/>
        <v>0</v>
      </c>
    </row>
    <row r="140" spans="2:8" x14ac:dyDescent="0.25">
      <c r="B140" s="4">
        <f t="shared" si="21"/>
        <v>121</v>
      </c>
      <c r="C140" s="1" t="s">
        <v>250</v>
      </c>
      <c r="D140" s="2" t="s">
        <v>251</v>
      </c>
      <c r="E140" s="1" t="s">
        <v>42</v>
      </c>
      <c r="F140" s="9">
        <f>'M. Nova'!F901</f>
        <v>500</v>
      </c>
      <c r="G140" s="7"/>
      <c r="H140" s="6">
        <f t="shared" si="20"/>
        <v>0</v>
      </c>
    </row>
    <row r="141" spans="2:8" x14ac:dyDescent="0.25">
      <c r="B141" s="4">
        <f t="shared" si="21"/>
        <v>122</v>
      </c>
      <c r="C141" s="1" t="s">
        <v>252</v>
      </c>
      <c r="D141" s="2" t="s">
        <v>253</v>
      </c>
      <c r="E141" s="1" t="s">
        <v>42</v>
      </c>
      <c r="F141" s="9">
        <f>'M. Nova'!F906</f>
        <v>200</v>
      </c>
      <c r="G141" s="7"/>
      <c r="H141" s="6">
        <f t="shared" si="20"/>
        <v>0</v>
      </c>
    </row>
    <row r="142" spans="2:8" x14ac:dyDescent="0.25">
      <c r="B142" s="4">
        <f t="shared" si="21"/>
        <v>123</v>
      </c>
      <c r="C142" s="1" t="s">
        <v>303</v>
      </c>
      <c r="D142" s="2" t="s">
        <v>308</v>
      </c>
      <c r="E142" s="1" t="s">
        <v>45</v>
      </c>
      <c r="F142" s="9">
        <f>'M. Nova'!F911</f>
        <v>2</v>
      </c>
      <c r="G142" s="7"/>
      <c r="H142" s="6">
        <f t="shared" si="20"/>
        <v>0</v>
      </c>
    </row>
    <row r="143" spans="2:8" x14ac:dyDescent="0.25">
      <c r="B143" s="4">
        <f t="shared" si="21"/>
        <v>124</v>
      </c>
      <c r="C143" s="1" t="s">
        <v>309</v>
      </c>
      <c r="D143" s="2" t="s">
        <v>310</v>
      </c>
      <c r="E143" s="1" t="s">
        <v>45</v>
      </c>
      <c r="F143" s="9">
        <f>'M. Nova'!F916</f>
        <v>1</v>
      </c>
      <c r="G143" s="7"/>
      <c r="H143" s="6">
        <f t="shared" si="20"/>
        <v>0</v>
      </c>
    </row>
    <row r="144" spans="2:8" x14ac:dyDescent="0.25">
      <c r="B144" s="4">
        <f t="shared" si="21"/>
        <v>125</v>
      </c>
      <c r="C144" s="1" t="s">
        <v>304</v>
      </c>
      <c r="D144" s="2" t="s">
        <v>314</v>
      </c>
      <c r="E144" s="1" t="s">
        <v>45</v>
      </c>
      <c r="F144" s="9">
        <f>'M. Nova'!F921</f>
        <v>1</v>
      </c>
      <c r="G144" s="7"/>
      <c r="H144" s="6">
        <f t="shared" si="20"/>
        <v>0</v>
      </c>
    </row>
    <row r="145" spans="2:8" x14ac:dyDescent="0.25">
      <c r="B145" s="4">
        <f t="shared" si="21"/>
        <v>126</v>
      </c>
      <c r="C145" s="1" t="s">
        <v>305</v>
      </c>
      <c r="D145" s="2" t="s">
        <v>315</v>
      </c>
      <c r="E145" s="1" t="s">
        <v>45</v>
      </c>
      <c r="F145" s="9">
        <f>'M. Nova'!F926</f>
        <v>4</v>
      </c>
      <c r="G145" s="7"/>
      <c r="H145" s="6">
        <f t="shared" si="20"/>
        <v>0</v>
      </c>
    </row>
    <row r="146" spans="2:8" x14ac:dyDescent="0.25">
      <c r="B146" s="4">
        <f t="shared" si="21"/>
        <v>127</v>
      </c>
      <c r="C146" s="1" t="s">
        <v>306</v>
      </c>
      <c r="D146" s="2" t="s">
        <v>316</v>
      </c>
      <c r="E146" s="1" t="s">
        <v>45</v>
      </c>
      <c r="F146" s="9">
        <f>'M. Nova'!F931</f>
        <v>1</v>
      </c>
      <c r="G146" s="7"/>
      <c r="H146" s="6">
        <f t="shared" si="20"/>
        <v>0</v>
      </c>
    </row>
    <row r="147" spans="2:8" x14ac:dyDescent="0.25">
      <c r="B147" s="4">
        <f t="shared" si="21"/>
        <v>128</v>
      </c>
      <c r="C147" s="1" t="s">
        <v>307</v>
      </c>
      <c r="D147" s="2" t="s">
        <v>311</v>
      </c>
      <c r="E147" s="1" t="s">
        <v>45</v>
      </c>
      <c r="F147" s="9">
        <f>'M. Nova'!F936</f>
        <v>1</v>
      </c>
      <c r="G147" s="7"/>
      <c r="H147" s="6">
        <f t="shared" si="20"/>
        <v>0</v>
      </c>
    </row>
    <row r="148" spans="2:8" x14ac:dyDescent="0.25">
      <c r="B148" s="4">
        <f t="shared" si="21"/>
        <v>129</v>
      </c>
      <c r="C148" s="1" t="s">
        <v>312</v>
      </c>
      <c r="D148" s="2" t="s">
        <v>313</v>
      </c>
      <c r="E148" s="1" t="s">
        <v>45</v>
      </c>
      <c r="F148" s="9">
        <f>'M. Nova'!F941</f>
        <v>2</v>
      </c>
      <c r="G148" s="7"/>
      <c r="H148" s="6">
        <f t="shared" si="20"/>
        <v>0</v>
      </c>
    </row>
    <row r="149" spans="2:8" x14ac:dyDescent="0.25">
      <c r="B149" s="4">
        <f t="shared" si="21"/>
        <v>130</v>
      </c>
      <c r="C149" s="1" t="s">
        <v>317</v>
      </c>
      <c r="D149" s="2" t="s">
        <v>318</v>
      </c>
      <c r="E149" s="1" t="s">
        <v>45</v>
      </c>
      <c r="F149" s="9">
        <f>'M. Nova'!F946</f>
        <v>1</v>
      </c>
      <c r="G149" s="7"/>
      <c r="H149" s="6">
        <f t="shared" si="20"/>
        <v>0</v>
      </c>
    </row>
    <row r="150" spans="2:8" x14ac:dyDescent="0.25">
      <c r="B150" s="4">
        <f t="shared" si="21"/>
        <v>131</v>
      </c>
      <c r="C150" s="1" t="s">
        <v>319</v>
      </c>
      <c r="D150" s="2" t="s">
        <v>320</v>
      </c>
      <c r="E150" s="1" t="s">
        <v>45</v>
      </c>
      <c r="F150" s="9">
        <f>'M. Nova'!F951</f>
        <v>2</v>
      </c>
      <c r="G150" s="7"/>
      <c r="H150" s="6">
        <f t="shared" si="20"/>
        <v>0</v>
      </c>
    </row>
    <row r="151" spans="2:8" x14ac:dyDescent="0.25">
      <c r="B151" s="4">
        <f t="shared" si="21"/>
        <v>132</v>
      </c>
      <c r="C151" s="1" t="s">
        <v>321</v>
      </c>
      <c r="D151" s="2" t="s">
        <v>325</v>
      </c>
      <c r="E151" s="1" t="s">
        <v>45</v>
      </c>
      <c r="F151" s="9">
        <f>'M. Nova'!F956</f>
        <v>1</v>
      </c>
      <c r="G151" s="7"/>
      <c r="H151" s="6">
        <f t="shared" si="20"/>
        <v>0</v>
      </c>
    </row>
    <row r="152" spans="2:8" x14ac:dyDescent="0.25">
      <c r="B152" s="4">
        <f t="shared" si="21"/>
        <v>133</v>
      </c>
      <c r="C152" s="1" t="s">
        <v>322</v>
      </c>
      <c r="D152" s="2" t="s">
        <v>324</v>
      </c>
      <c r="E152" s="1" t="s">
        <v>45</v>
      </c>
      <c r="F152" s="9">
        <f>'M. Nova'!F961</f>
        <v>5</v>
      </c>
      <c r="G152" s="7"/>
      <c r="H152" s="6">
        <f t="shared" si="20"/>
        <v>0</v>
      </c>
    </row>
    <row r="153" spans="2:8" x14ac:dyDescent="0.25">
      <c r="B153" s="4">
        <f t="shared" si="21"/>
        <v>134</v>
      </c>
      <c r="C153" s="1" t="s">
        <v>323</v>
      </c>
      <c r="D153" s="2" t="s">
        <v>326</v>
      </c>
      <c r="E153" s="1" t="s">
        <v>45</v>
      </c>
      <c r="F153" s="9">
        <f>'M. Nova'!F966</f>
        <v>1</v>
      </c>
      <c r="G153" s="7"/>
      <c r="H153" s="6">
        <f t="shared" si="20"/>
        <v>0</v>
      </c>
    </row>
    <row r="154" spans="2:8" x14ac:dyDescent="0.25">
      <c r="B154" s="4">
        <f t="shared" si="21"/>
        <v>135</v>
      </c>
      <c r="C154" s="1" t="s">
        <v>327</v>
      </c>
      <c r="D154" s="2" t="s">
        <v>328</v>
      </c>
      <c r="E154" s="1" t="s">
        <v>45</v>
      </c>
      <c r="F154" s="9">
        <f>'M. Nova'!F971</f>
        <v>3</v>
      </c>
      <c r="G154" s="7"/>
      <c r="H154" s="6">
        <f t="shared" si="20"/>
        <v>0</v>
      </c>
    </row>
    <row r="155" spans="2:8" x14ac:dyDescent="0.25">
      <c r="B155" s="4">
        <f t="shared" si="21"/>
        <v>136</v>
      </c>
      <c r="C155" s="1" t="s">
        <v>329</v>
      </c>
      <c r="D155" s="2" t="s">
        <v>330</v>
      </c>
      <c r="E155" s="1" t="s">
        <v>42</v>
      </c>
      <c r="F155" s="9">
        <f>'M. Nova'!F976</f>
        <v>3</v>
      </c>
      <c r="G155" s="7"/>
      <c r="H155" s="6">
        <f t="shared" si="20"/>
        <v>0</v>
      </c>
    </row>
    <row r="156" spans="2:8" x14ac:dyDescent="0.25">
      <c r="B156" s="4">
        <f t="shared" si="21"/>
        <v>137</v>
      </c>
      <c r="C156" s="1" t="s">
        <v>331</v>
      </c>
      <c r="D156" s="2" t="s">
        <v>332</v>
      </c>
      <c r="E156" s="1" t="s">
        <v>45</v>
      </c>
      <c r="F156" s="9">
        <f>'M. Nova'!F981</f>
        <v>2</v>
      </c>
      <c r="G156" s="7"/>
      <c r="H156" s="6">
        <f t="shared" si="20"/>
        <v>0</v>
      </c>
    </row>
    <row r="157" spans="2:8" x14ac:dyDescent="0.25">
      <c r="B157" s="4">
        <f t="shared" si="21"/>
        <v>138</v>
      </c>
      <c r="C157" s="1" t="s">
        <v>371</v>
      </c>
      <c r="D157" s="2" t="s">
        <v>372</v>
      </c>
      <c r="E157" s="1" t="s">
        <v>45</v>
      </c>
      <c r="F157" s="9">
        <f>'M. Nova'!F986</f>
        <v>10</v>
      </c>
      <c r="G157" s="7"/>
      <c r="H157" s="6">
        <f t="shared" si="20"/>
        <v>0</v>
      </c>
    </row>
    <row r="158" spans="2:8" ht="33.75" x14ac:dyDescent="0.25">
      <c r="B158" s="4">
        <f t="shared" si="21"/>
        <v>139</v>
      </c>
      <c r="C158" s="1" t="s">
        <v>447</v>
      </c>
      <c r="D158" s="2" t="s">
        <v>448</v>
      </c>
      <c r="E158" s="1" t="s">
        <v>45</v>
      </c>
      <c r="F158" s="9">
        <f>'M. Nova'!F991</f>
        <v>189</v>
      </c>
      <c r="G158" s="7"/>
      <c r="H158" s="6">
        <f t="shared" si="20"/>
        <v>0</v>
      </c>
    </row>
    <row r="159" spans="2:8" x14ac:dyDescent="0.25">
      <c r="B159" s="4">
        <f t="shared" si="21"/>
        <v>140</v>
      </c>
      <c r="C159" s="1" t="s">
        <v>453</v>
      </c>
      <c r="D159" s="2" t="s">
        <v>454</v>
      </c>
      <c r="E159" s="1" t="s">
        <v>45</v>
      </c>
      <c r="F159" s="9">
        <f>'M. Nova'!F996</f>
        <v>3</v>
      </c>
      <c r="G159" s="7"/>
      <c r="H159" s="6">
        <f t="shared" si="20"/>
        <v>0</v>
      </c>
    </row>
    <row r="160" spans="2:8" x14ac:dyDescent="0.25">
      <c r="B160" s="4">
        <f t="shared" si="21"/>
        <v>141</v>
      </c>
      <c r="C160" s="1" t="s">
        <v>455</v>
      </c>
      <c r="D160" s="2" t="s">
        <v>456</v>
      </c>
      <c r="E160" s="1" t="s">
        <v>45</v>
      </c>
      <c r="F160" s="9">
        <f>'M. Nova'!F1001</f>
        <v>3</v>
      </c>
      <c r="G160" s="7"/>
      <c r="H160" s="6">
        <f t="shared" si="20"/>
        <v>0</v>
      </c>
    </row>
    <row r="161" spans="2:8" x14ac:dyDescent="0.25">
      <c r="B161" s="4">
        <f t="shared" si="21"/>
        <v>142</v>
      </c>
      <c r="C161" s="1" t="s">
        <v>463</v>
      </c>
      <c r="D161" s="2" t="s">
        <v>464</v>
      </c>
      <c r="E161" s="1" t="s">
        <v>45</v>
      </c>
      <c r="F161" s="9">
        <f>'M. Nova'!F1006</f>
        <v>5</v>
      </c>
      <c r="G161" s="7"/>
      <c r="H161" s="6">
        <f t="shared" si="20"/>
        <v>0</v>
      </c>
    </row>
    <row r="162" spans="2:8" x14ac:dyDescent="0.25">
      <c r="B162" s="4">
        <f t="shared" si="21"/>
        <v>143</v>
      </c>
      <c r="C162" s="1" t="s">
        <v>465</v>
      </c>
      <c r="D162" s="2" t="s">
        <v>466</v>
      </c>
      <c r="E162" s="1" t="s">
        <v>45</v>
      </c>
      <c r="F162" s="9">
        <f>'M. Nova'!F1011</f>
        <v>5</v>
      </c>
      <c r="G162" s="7"/>
      <c r="H162" s="6">
        <f t="shared" si="20"/>
        <v>0</v>
      </c>
    </row>
    <row r="163" spans="2:8" ht="33.75" x14ac:dyDescent="0.25">
      <c r="B163" s="4">
        <f t="shared" si="21"/>
        <v>144</v>
      </c>
      <c r="C163" s="1" t="s">
        <v>499</v>
      </c>
      <c r="D163" s="2" t="s">
        <v>500</v>
      </c>
      <c r="E163" s="1" t="s">
        <v>45</v>
      </c>
      <c r="F163" s="9">
        <f>'M. Nova'!F1016</f>
        <v>44</v>
      </c>
      <c r="G163" s="7"/>
      <c r="H163" s="6"/>
    </row>
    <row r="164" spans="2:8" ht="33.75" x14ac:dyDescent="0.25">
      <c r="B164" s="4">
        <f t="shared" si="21"/>
        <v>145</v>
      </c>
      <c r="C164" s="1">
        <v>89957</v>
      </c>
      <c r="D164" s="2" t="s">
        <v>505</v>
      </c>
      <c r="E164" s="1" t="s">
        <v>45</v>
      </c>
      <c r="F164" s="9">
        <f>'M. Nova'!F1021</f>
        <v>2</v>
      </c>
      <c r="G164" s="7"/>
      <c r="H164" s="6"/>
    </row>
    <row r="165" spans="2:8" ht="33.75" x14ac:dyDescent="0.25">
      <c r="B165" s="4">
        <f t="shared" si="21"/>
        <v>146</v>
      </c>
      <c r="C165" s="1" t="s">
        <v>507</v>
      </c>
      <c r="D165" s="2" t="s">
        <v>508</v>
      </c>
      <c r="E165" s="1" t="s">
        <v>42</v>
      </c>
      <c r="F165" s="9">
        <f>'M. Nova'!F1026</f>
        <v>30</v>
      </c>
      <c r="G165" s="7"/>
      <c r="H165" s="6"/>
    </row>
    <row r="166" spans="2:8" ht="22.5" x14ac:dyDescent="0.25">
      <c r="B166" s="4">
        <f t="shared" si="21"/>
        <v>147</v>
      </c>
      <c r="C166" s="1">
        <v>103987</v>
      </c>
      <c r="D166" s="2" t="s">
        <v>509</v>
      </c>
      <c r="E166" s="1" t="s">
        <v>45</v>
      </c>
      <c r="F166" s="9">
        <f>'M. Nova'!F1031</f>
        <v>10</v>
      </c>
      <c r="G166" s="7"/>
      <c r="H166" s="6"/>
    </row>
    <row r="167" spans="2:8" ht="22.5" x14ac:dyDescent="0.25">
      <c r="B167" s="4">
        <f t="shared" si="21"/>
        <v>148</v>
      </c>
      <c r="C167" s="1">
        <v>103986</v>
      </c>
      <c r="D167" s="2" t="s">
        <v>510</v>
      </c>
      <c r="E167" s="1" t="s">
        <v>45</v>
      </c>
      <c r="F167" s="9">
        <f>'M. Nova'!F1036</f>
        <v>10</v>
      </c>
      <c r="G167" s="7"/>
      <c r="H167" s="6"/>
    </row>
    <row r="168" spans="2:8" ht="33.75" x14ac:dyDescent="0.25">
      <c r="B168" s="4">
        <f t="shared" si="21"/>
        <v>149</v>
      </c>
      <c r="C168" s="1" t="s">
        <v>517</v>
      </c>
      <c r="D168" s="2" t="s">
        <v>518</v>
      </c>
      <c r="E168" s="1" t="s">
        <v>45</v>
      </c>
      <c r="F168" s="9">
        <f>'M. Nova'!F1041</f>
        <v>30</v>
      </c>
      <c r="G168" s="7"/>
      <c r="H168" s="6"/>
    </row>
    <row r="169" spans="2:8" ht="33.75" x14ac:dyDescent="0.25">
      <c r="B169" s="4">
        <f t="shared" si="21"/>
        <v>150</v>
      </c>
      <c r="C169" s="1" t="s">
        <v>519</v>
      </c>
      <c r="D169" s="2" t="s">
        <v>520</v>
      </c>
      <c r="E169" s="1" t="s">
        <v>45</v>
      </c>
      <c r="F169" s="9">
        <f>'M. Nova'!F1046</f>
        <v>5</v>
      </c>
      <c r="G169" s="7"/>
      <c r="H169" s="6"/>
    </row>
    <row r="170" spans="2:8" ht="22.5" x14ac:dyDescent="0.25">
      <c r="B170" s="4">
        <f t="shared" si="21"/>
        <v>151</v>
      </c>
      <c r="C170" s="1">
        <v>5116</v>
      </c>
      <c r="D170" s="2" t="s">
        <v>521</v>
      </c>
      <c r="E170" s="1" t="s">
        <v>42</v>
      </c>
      <c r="F170" s="9">
        <f>'M. Nova'!F1051</f>
        <v>100</v>
      </c>
      <c r="G170" s="7"/>
      <c r="H170" s="6"/>
    </row>
    <row r="171" spans="2:8" ht="22.5" x14ac:dyDescent="0.25">
      <c r="B171" s="4">
        <f t="shared" si="21"/>
        <v>152</v>
      </c>
      <c r="C171" s="1">
        <v>10117</v>
      </c>
      <c r="D171" s="2" t="s">
        <v>523</v>
      </c>
      <c r="E171" s="1" t="s">
        <v>42</v>
      </c>
      <c r="F171" s="9">
        <f>'M. Nova'!F1056</f>
        <v>40</v>
      </c>
      <c r="G171" s="7"/>
      <c r="H171" s="6"/>
    </row>
    <row r="172" spans="2:8" ht="22.5" x14ac:dyDescent="0.25">
      <c r="B172" s="4">
        <f t="shared" si="21"/>
        <v>153</v>
      </c>
      <c r="C172" s="1" t="s">
        <v>525</v>
      </c>
      <c r="D172" s="2" t="s">
        <v>526</v>
      </c>
      <c r="E172" s="1" t="s">
        <v>45</v>
      </c>
      <c r="F172" s="9">
        <f>'M. Nova'!F1061</f>
        <v>30</v>
      </c>
      <c r="G172" s="7"/>
      <c r="H172" s="6"/>
    </row>
    <row r="173" spans="2:8" ht="45" x14ac:dyDescent="0.25">
      <c r="B173" s="4">
        <f t="shared" si="21"/>
        <v>154</v>
      </c>
      <c r="C173" s="1" t="s">
        <v>537</v>
      </c>
      <c r="D173" s="2" t="s">
        <v>538</v>
      </c>
      <c r="E173" s="1" t="s">
        <v>45</v>
      </c>
      <c r="F173" s="9">
        <f>'M. Nova'!F1066</f>
        <v>2</v>
      </c>
      <c r="G173" s="7"/>
      <c r="H173" s="6">
        <f t="shared" si="20"/>
        <v>0</v>
      </c>
    </row>
    <row r="174" spans="2:8" ht="15.75" thickBot="1" x14ac:dyDescent="0.3">
      <c r="B174" s="59" t="s">
        <v>282</v>
      </c>
      <c r="C174" s="60"/>
      <c r="D174" s="60"/>
      <c r="E174" s="60"/>
      <c r="F174" s="60"/>
      <c r="G174" s="61"/>
      <c r="H174" s="11">
        <f>SUM(H127:H173)</f>
        <v>0</v>
      </c>
    </row>
    <row r="175" spans="2:8" x14ac:dyDescent="0.25">
      <c r="B175" s="56" t="s">
        <v>254</v>
      </c>
      <c r="C175" s="57"/>
      <c r="D175" s="57"/>
      <c r="E175" s="57"/>
      <c r="F175" s="57"/>
      <c r="G175" s="57"/>
      <c r="H175" s="58"/>
    </row>
    <row r="176" spans="2:8" ht="22.5" x14ac:dyDescent="0.25">
      <c r="B176" s="4">
        <f>B173+1</f>
        <v>155</v>
      </c>
      <c r="C176" s="22" t="s">
        <v>578</v>
      </c>
      <c r="D176" s="2" t="s">
        <v>579</v>
      </c>
      <c r="E176" s="1" t="s">
        <v>267</v>
      </c>
      <c r="F176" s="9">
        <f>'M. Nova'!F1072</f>
        <v>6</v>
      </c>
      <c r="G176" s="7"/>
      <c r="H176" s="6">
        <f t="shared" ref="H176:H184" si="22">TRUNC(G176*F176,2)</f>
        <v>0</v>
      </c>
    </row>
    <row r="177" spans="2:8" x14ac:dyDescent="0.25">
      <c r="B177" s="4">
        <f t="shared" ref="B177:B184" si="23">B176+1</f>
        <v>156</v>
      </c>
      <c r="C177" s="22" t="s">
        <v>268</v>
      </c>
      <c r="D177" s="2" t="s">
        <v>269</v>
      </c>
      <c r="E177" s="1" t="s">
        <v>267</v>
      </c>
      <c r="F177" s="9">
        <f>'M. Nova'!F1077</f>
        <v>6</v>
      </c>
      <c r="G177" s="7"/>
      <c r="H177" s="6">
        <f t="shared" si="22"/>
        <v>0</v>
      </c>
    </row>
    <row r="178" spans="2:8" x14ac:dyDescent="0.25">
      <c r="B178" s="4">
        <f t="shared" si="23"/>
        <v>157</v>
      </c>
      <c r="C178" s="22" t="s">
        <v>270</v>
      </c>
      <c r="D178" s="2" t="s">
        <v>271</v>
      </c>
      <c r="E178" s="1" t="s">
        <v>267</v>
      </c>
      <c r="F178" s="9">
        <f>'M. Nova'!F1082</f>
        <v>12</v>
      </c>
      <c r="G178" s="7"/>
      <c r="H178" s="6">
        <f t="shared" si="22"/>
        <v>0</v>
      </c>
    </row>
    <row r="179" spans="2:8" ht="22.5" x14ac:dyDescent="0.25">
      <c r="B179" s="4">
        <f>B178+1</f>
        <v>158</v>
      </c>
      <c r="C179" s="22" t="s">
        <v>580</v>
      </c>
      <c r="D179" s="2" t="s">
        <v>581</v>
      </c>
      <c r="E179" s="1" t="s">
        <v>267</v>
      </c>
      <c r="F179" s="9">
        <f>'M. Nova'!F1087</f>
        <v>18</v>
      </c>
      <c r="G179" s="7"/>
      <c r="H179" s="6">
        <f t="shared" ref="H179" si="24">TRUNC(G179*F179,2)</f>
        <v>0</v>
      </c>
    </row>
    <row r="180" spans="2:8" x14ac:dyDescent="0.25">
      <c r="B180" s="4">
        <f>B179+1</f>
        <v>159</v>
      </c>
      <c r="C180" s="22" t="s">
        <v>274</v>
      </c>
      <c r="D180" s="2" t="s">
        <v>275</v>
      </c>
      <c r="E180" s="1" t="s">
        <v>267</v>
      </c>
      <c r="F180" s="9">
        <f>'M. Nova'!F1092</f>
        <v>6</v>
      </c>
      <c r="G180" s="7"/>
      <c r="H180" s="6">
        <f t="shared" si="22"/>
        <v>0</v>
      </c>
    </row>
    <row r="181" spans="2:8" x14ac:dyDescent="0.25">
      <c r="B181" s="4">
        <f t="shared" si="23"/>
        <v>160</v>
      </c>
      <c r="C181" s="22" t="s">
        <v>276</v>
      </c>
      <c r="D181" s="2" t="s">
        <v>277</v>
      </c>
      <c r="E181" s="1" t="s">
        <v>267</v>
      </c>
      <c r="F181" s="9">
        <f>'M. Nova'!F1097</f>
        <v>6</v>
      </c>
      <c r="G181" s="7"/>
      <c r="H181" s="6">
        <f t="shared" si="22"/>
        <v>0</v>
      </c>
    </row>
    <row r="182" spans="2:8" x14ac:dyDescent="0.25">
      <c r="B182" s="4">
        <f t="shared" si="23"/>
        <v>161</v>
      </c>
      <c r="C182" s="22" t="s">
        <v>289</v>
      </c>
      <c r="D182" s="2" t="s">
        <v>290</v>
      </c>
      <c r="E182" s="1" t="s">
        <v>267</v>
      </c>
      <c r="F182" s="9">
        <f>'M. Nova'!F1102</f>
        <v>2</v>
      </c>
      <c r="G182" s="7"/>
      <c r="H182" s="6">
        <f t="shared" si="22"/>
        <v>0</v>
      </c>
    </row>
    <row r="183" spans="2:8" x14ac:dyDescent="0.25">
      <c r="B183" s="4">
        <f t="shared" si="23"/>
        <v>162</v>
      </c>
      <c r="C183" s="22" t="s">
        <v>335</v>
      </c>
      <c r="D183" s="2" t="s">
        <v>336</v>
      </c>
      <c r="E183" s="1" t="s">
        <v>267</v>
      </c>
      <c r="F183" s="9">
        <f>'M. Nova'!F1107</f>
        <v>6</v>
      </c>
      <c r="G183" s="7"/>
      <c r="H183" s="6">
        <f t="shared" si="22"/>
        <v>0</v>
      </c>
    </row>
    <row r="184" spans="2:8" x14ac:dyDescent="0.25">
      <c r="B184" s="4">
        <f t="shared" si="23"/>
        <v>163</v>
      </c>
      <c r="C184" s="1" t="s">
        <v>337</v>
      </c>
      <c r="D184" s="2" t="s">
        <v>338</v>
      </c>
      <c r="E184" s="1" t="s">
        <v>267</v>
      </c>
      <c r="F184" s="9">
        <f>'M. Nova'!F1112</f>
        <v>6</v>
      </c>
      <c r="G184" s="7"/>
      <c r="H184" s="6">
        <f t="shared" si="22"/>
        <v>0</v>
      </c>
    </row>
    <row r="185" spans="2:8" ht="15.75" thickBot="1" x14ac:dyDescent="0.3">
      <c r="B185" s="59" t="s">
        <v>283</v>
      </c>
      <c r="C185" s="60"/>
      <c r="D185" s="60"/>
      <c r="E185" s="60"/>
      <c r="F185" s="60"/>
      <c r="G185" s="61"/>
      <c r="H185" s="11">
        <f>SUM(H176:H184)</f>
        <v>0</v>
      </c>
    </row>
    <row r="186" spans="2:8" x14ac:dyDescent="0.25">
      <c r="B186" s="56" t="s">
        <v>412</v>
      </c>
      <c r="C186" s="57"/>
      <c r="D186" s="57"/>
      <c r="E186" s="57"/>
      <c r="F186" s="57"/>
      <c r="G186" s="57"/>
      <c r="H186" s="58"/>
    </row>
    <row r="187" spans="2:8" ht="56.25" x14ac:dyDescent="0.25">
      <c r="B187" s="4">
        <f>B184+1</f>
        <v>164</v>
      </c>
      <c r="C187" s="22" t="s">
        <v>414</v>
      </c>
      <c r="D187" s="2" t="s">
        <v>415</v>
      </c>
      <c r="E187" s="1" t="s">
        <v>45</v>
      </c>
      <c r="F187" s="9">
        <f>'M. Nova'!F1118</f>
        <v>1</v>
      </c>
      <c r="G187" s="7"/>
      <c r="H187" s="6">
        <f t="shared" ref="H187:H194" si="25">TRUNC(G187*F187,2)</f>
        <v>0</v>
      </c>
    </row>
    <row r="188" spans="2:8" x14ac:dyDescent="0.25">
      <c r="B188" s="4">
        <f t="shared" ref="B188:B194" si="26">B187+1</f>
        <v>165</v>
      </c>
      <c r="C188" s="22" t="s">
        <v>416</v>
      </c>
      <c r="D188" s="2" t="s">
        <v>417</v>
      </c>
      <c r="E188" s="1" t="s">
        <v>45</v>
      </c>
      <c r="F188" s="9">
        <f>'M. Nova'!F1123</f>
        <v>1</v>
      </c>
      <c r="G188" s="7"/>
      <c r="H188" s="6">
        <f t="shared" si="25"/>
        <v>0</v>
      </c>
    </row>
    <row r="189" spans="2:8" ht="45" x14ac:dyDescent="0.25">
      <c r="B189" s="4">
        <f t="shared" si="26"/>
        <v>166</v>
      </c>
      <c r="C189" s="22">
        <v>101912</v>
      </c>
      <c r="D189" s="2" t="s">
        <v>418</v>
      </c>
      <c r="E189" s="1" t="s">
        <v>45</v>
      </c>
      <c r="F189" s="9">
        <f>'M. Nova'!F1128</f>
        <v>3</v>
      </c>
      <c r="G189" s="7"/>
      <c r="H189" s="6">
        <f t="shared" si="25"/>
        <v>0</v>
      </c>
    </row>
    <row r="190" spans="2:8" ht="22.5" x14ac:dyDescent="0.25">
      <c r="B190" s="4">
        <f t="shared" si="26"/>
        <v>167</v>
      </c>
      <c r="C190" s="22" t="s">
        <v>419</v>
      </c>
      <c r="D190" s="2" t="s">
        <v>420</v>
      </c>
      <c r="E190" s="1" t="s">
        <v>45</v>
      </c>
      <c r="F190" s="9">
        <f>'M. Nova'!F1133</f>
        <v>23</v>
      </c>
      <c r="G190" s="7"/>
      <c r="H190" s="6">
        <f t="shared" si="25"/>
        <v>0</v>
      </c>
    </row>
    <row r="191" spans="2:8" x14ac:dyDescent="0.25">
      <c r="B191" s="4">
        <f t="shared" si="26"/>
        <v>168</v>
      </c>
      <c r="C191" s="22" t="s">
        <v>421</v>
      </c>
      <c r="D191" s="2" t="s">
        <v>422</v>
      </c>
      <c r="E191" s="1" t="s">
        <v>45</v>
      </c>
      <c r="F191" s="9">
        <f>'M. Nova'!F1138</f>
        <v>20</v>
      </c>
      <c r="G191" s="7"/>
      <c r="H191" s="6">
        <f t="shared" si="25"/>
        <v>0</v>
      </c>
    </row>
    <row r="192" spans="2:8" ht="22.5" x14ac:dyDescent="0.25">
      <c r="B192" s="4">
        <f t="shared" si="26"/>
        <v>169</v>
      </c>
      <c r="C192" s="22">
        <v>101905</v>
      </c>
      <c r="D192" s="2" t="s">
        <v>423</v>
      </c>
      <c r="E192" s="1" t="s">
        <v>45</v>
      </c>
      <c r="F192" s="9">
        <f>'M. Nova'!F1143</f>
        <v>10</v>
      </c>
      <c r="G192" s="7"/>
      <c r="H192" s="6">
        <f t="shared" si="25"/>
        <v>0</v>
      </c>
    </row>
    <row r="193" spans="2:8" x14ac:dyDescent="0.25">
      <c r="B193" s="4">
        <f t="shared" si="26"/>
        <v>170</v>
      </c>
      <c r="C193" s="1">
        <v>101906</v>
      </c>
      <c r="D193" s="2" t="s">
        <v>424</v>
      </c>
      <c r="E193" s="1" t="s">
        <v>45</v>
      </c>
      <c r="F193" s="9">
        <f>'M. Nova'!F1148</f>
        <v>10</v>
      </c>
      <c r="G193" s="7"/>
      <c r="H193" s="6">
        <f t="shared" si="25"/>
        <v>0</v>
      </c>
    </row>
    <row r="194" spans="2:8" ht="22.5" x14ac:dyDescent="0.25">
      <c r="B194" s="4">
        <f t="shared" si="26"/>
        <v>171</v>
      </c>
      <c r="C194" s="1">
        <v>13168</v>
      </c>
      <c r="D194" s="2" t="s">
        <v>501</v>
      </c>
      <c r="E194" s="1" t="s">
        <v>45</v>
      </c>
      <c r="F194" s="9">
        <f>'M. Nova'!F1153</f>
        <v>0.2</v>
      </c>
      <c r="G194" s="7"/>
      <c r="H194" s="6">
        <f t="shared" si="25"/>
        <v>0</v>
      </c>
    </row>
    <row r="195" spans="2:8" ht="15.75" thickBot="1" x14ac:dyDescent="0.3">
      <c r="B195" s="59" t="s">
        <v>608</v>
      </c>
      <c r="C195" s="60"/>
      <c r="D195" s="60"/>
      <c r="E195" s="60"/>
      <c r="F195" s="60"/>
      <c r="G195" s="61"/>
      <c r="H195" s="11">
        <f>SUM(H187:H194)</f>
        <v>0</v>
      </c>
    </row>
    <row r="196" spans="2:8" x14ac:dyDescent="0.25">
      <c r="B196" s="56" t="s">
        <v>609</v>
      </c>
      <c r="C196" s="57"/>
      <c r="D196" s="57"/>
      <c r="E196" s="57"/>
      <c r="F196" s="57"/>
      <c r="G196" s="57"/>
      <c r="H196" s="58"/>
    </row>
    <row r="197" spans="2:8" ht="22.5" x14ac:dyDescent="0.25">
      <c r="B197" s="4">
        <f>B194+1</f>
        <v>172</v>
      </c>
      <c r="C197" s="22" t="s">
        <v>610</v>
      </c>
      <c r="D197" s="2" t="s">
        <v>611</v>
      </c>
      <c r="E197" s="1" t="s">
        <v>44</v>
      </c>
      <c r="F197" s="9">
        <f>'M. Nova'!F1162</f>
        <v>6.910215</v>
      </c>
      <c r="G197" s="7"/>
      <c r="H197" s="6">
        <f t="shared" ref="H197:H220" si="27">TRUNC(G197*F197,2)</f>
        <v>0</v>
      </c>
    </row>
    <row r="198" spans="2:8" ht="22.5" x14ac:dyDescent="0.25">
      <c r="B198" s="4">
        <f t="shared" ref="B198:B220" si="28">B197+1</f>
        <v>173</v>
      </c>
      <c r="C198" s="22" t="s">
        <v>612</v>
      </c>
      <c r="D198" s="2" t="s">
        <v>613</v>
      </c>
      <c r="E198" s="1" t="s">
        <v>43</v>
      </c>
      <c r="F198" s="9">
        <f>'M. Nova'!F1173</f>
        <v>32.623800000000003</v>
      </c>
      <c r="G198" s="7"/>
      <c r="H198" s="6">
        <f t="shared" si="27"/>
        <v>0</v>
      </c>
    </row>
    <row r="199" spans="2:8" x14ac:dyDescent="0.25">
      <c r="B199" s="4">
        <f t="shared" si="28"/>
        <v>174</v>
      </c>
      <c r="C199" s="22" t="s">
        <v>614</v>
      </c>
      <c r="D199" s="2" t="s">
        <v>615</v>
      </c>
      <c r="E199" s="1" t="s">
        <v>43</v>
      </c>
      <c r="F199" s="9">
        <f>'M. Nova'!F1182</f>
        <v>52.79025</v>
      </c>
      <c r="G199" s="7"/>
      <c r="H199" s="6">
        <f t="shared" si="27"/>
        <v>0</v>
      </c>
    </row>
    <row r="200" spans="2:8" ht="22.5" x14ac:dyDescent="0.25">
      <c r="B200" s="4">
        <f t="shared" si="28"/>
        <v>175</v>
      </c>
      <c r="C200" s="22" t="s">
        <v>616</v>
      </c>
      <c r="D200" s="2" t="s">
        <v>617</v>
      </c>
      <c r="E200" s="1" t="s">
        <v>43</v>
      </c>
      <c r="F200" s="9">
        <f>'M. Nova'!F1188</f>
        <v>52.79025</v>
      </c>
      <c r="G200" s="7"/>
      <c r="H200" s="6">
        <f t="shared" si="27"/>
        <v>0</v>
      </c>
    </row>
    <row r="201" spans="2:8" ht="22.5" x14ac:dyDescent="0.25">
      <c r="B201" s="4">
        <f t="shared" si="28"/>
        <v>176</v>
      </c>
      <c r="C201" s="1" t="s">
        <v>618</v>
      </c>
      <c r="D201" s="2" t="s">
        <v>619</v>
      </c>
      <c r="E201" s="1" t="s">
        <v>43</v>
      </c>
      <c r="F201" s="9">
        <f>'M. Nova'!F1194</f>
        <v>138.20430000000002</v>
      </c>
      <c r="G201" s="7"/>
      <c r="H201" s="6">
        <f t="shared" si="27"/>
        <v>0</v>
      </c>
    </row>
    <row r="202" spans="2:8" ht="56.25" x14ac:dyDescent="0.25">
      <c r="B202" s="4">
        <f t="shared" si="28"/>
        <v>177</v>
      </c>
      <c r="C202" s="1" t="s">
        <v>620</v>
      </c>
      <c r="D202" s="2" t="s">
        <v>621</v>
      </c>
      <c r="E202" s="1" t="s">
        <v>43</v>
      </c>
      <c r="F202" s="9">
        <f>'M. Nova'!F1205</f>
        <v>85.414050000000003</v>
      </c>
      <c r="G202" s="7"/>
      <c r="H202" s="6">
        <f t="shared" si="27"/>
        <v>0</v>
      </c>
    </row>
    <row r="203" spans="2:8" ht="22.5" x14ac:dyDescent="0.25">
      <c r="B203" s="4">
        <f t="shared" si="28"/>
        <v>178</v>
      </c>
      <c r="C203" s="1" t="s">
        <v>622</v>
      </c>
      <c r="D203" s="2" t="s">
        <v>623</v>
      </c>
      <c r="E203" s="1" t="s">
        <v>44</v>
      </c>
      <c r="F203" s="9">
        <f>'M. Nova'!F1209</f>
        <v>71.772360000000006</v>
      </c>
      <c r="G203" s="7"/>
      <c r="H203" s="6">
        <f t="shared" si="27"/>
        <v>0</v>
      </c>
    </row>
    <row r="204" spans="2:8" ht="22.5" x14ac:dyDescent="0.25">
      <c r="B204" s="4">
        <f t="shared" si="28"/>
        <v>179</v>
      </c>
      <c r="C204" s="1" t="s">
        <v>624</v>
      </c>
      <c r="D204" s="2" t="s">
        <v>625</v>
      </c>
      <c r="E204" s="1" t="s">
        <v>43</v>
      </c>
      <c r="F204" s="9">
        <f>'M. Nova'!F1214</f>
        <v>5.28</v>
      </c>
      <c r="G204" s="7"/>
      <c r="H204" s="6">
        <f t="shared" si="27"/>
        <v>0</v>
      </c>
    </row>
    <row r="205" spans="2:8" ht="22.5" x14ac:dyDescent="0.25">
      <c r="B205" s="4">
        <f t="shared" si="28"/>
        <v>180</v>
      </c>
      <c r="C205" s="1" t="s">
        <v>626</v>
      </c>
      <c r="D205" s="2" t="s">
        <v>627</v>
      </c>
      <c r="E205" s="1" t="s">
        <v>43</v>
      </c>
      <c r="F205" s="9">
        <f>'M. Nova'!F1219</f>
        <v>52.79025</v>
      </c>
      <c r="G205" s="7"/>
      <c r="H205" s="6">
        <f t="shared" si="27"/>
        <v>0</v>
      </c>
    </row>
    <row r="206" spans="2:8" ht="22.5" x14ac:dyDescent="0.25">
      <c r="B206" s="4">
        <f t="shared" si="28"/>
        <v>181</v>
      </c>
      <c r="C206" s="1" t="s">
        <v>628</v>
      </c>
      <c r="D206" s="2" t="s">
        <v>629</v>
      </c>
      <c r="E206" s="1" t="s">
        <v>42</v>
      </c>
      <c r="F206" s="9">
        <f>'M. Nova'!F1224</f>
        <v>10.5</v>
      </c>
      <c r="G206" s="7"/>
      <c r="H206" s="6">
        <f t="shared" si="27"/>
        <v>0</v>
      </c>
    </row>
    <row r="207" spans="2:8" ht="33.75" x14ac:dyDescent="0.25">
      <c r="B207" s="4">
        <f t="shared" si="28"/>
        <v>182</v>
      </c>
      <c r="C207" s="1" t="s">
        <v>630</v>
      </c>
      <c r="D207" s="2" t="s">
        <v>631</v>
      </c>
      <c r="E207" s="1" t="s">
        <v>369</v>
      </c>
      <c r="F207" s="9">
        <f>'M. Nova'!F1232</f>
        <v>3.5889554474609797</v>
      </c>
      <c r="G207" s="7"/>
      <c r="H207" s="6">
        <f t="shared" si="27"/>
        <v>0</v>
      </c>
    </row>
    <row r="208" spans="2:8" ht="22.5" x14ac:dyDescent="0.25">
      <c r="B208" s="4">
        <f t="shared" si="28"/>
        <v>183</v>
      </c>
      <c r="C208" s="1" t="s">
        <v>632</v>
      </c>
      <c r="D208" s="2" t="s">
        <v>633</v>
      </c>
      <c r="E208" s="1" t="s">
        <v>44</v>
      </c>
      <c r="F208" s="9">
        <f>'M. Nova'!F1240</f>
        <v>0.19800600000000002</v>
      </c>
      <c r="G208" s="7"/>
      <c r="H208" s="6">
        <f t="shared" si="27"/>
        <v>0</v>
      </c>
    </row>
    <row r="209" spans="2:8" ht="56.25" x14ac:dyDescent="0.25">
      <c r="B209" s="4">
        <f t="shared" si="28"/>
        <v>184</v>
      </c>
      <c r="C209" s="1" t="s">
        <v>634</v>
      </c>
      <c r="D209" s="2" t="s">
        <v>635</v>
      </c>
      <c r="E209" s="1" t="s">
        <v>44</v>
      </c>
      <c r="F209" s="9">
        <f>'M. Nova'!F1247</f>
        <v>9.4666950000000014</v>
      </c>
      <c r="G209" s="7"/>
      <c r="H209" s="6">
        <f t="shared" si="27"/>
        <v>0</v>
      </c>
    </row>
    <row r="210" spans="2:8" ht="33.75" x14ac:dyDescent="0.25">
      <c r="B210" s="4">
        <f t="shared" si="28"/>
        <v>185</v>
      </c>
      <c r="C210" s="1" t="s">
        <v>636</v>
      </c>
      <c r="D210" s="2" t="s">
        <v>637</v>
      </c>
      <c r="E210" s="1" t="s">
        <v>44</v>
      </c>
      <c r="F210" s="9">
        <f>'M. Nova'!F1251</f>
        <v>9.4666950000000014</v>
      </c>
      <c r="G210" s="7"/>
      <c r="H210" s="6">
        <f t="shared" si="27"/>
        <v>0</v>
      </c>
    </row>
    <row r="211" spans="2:8" ht="33.75" x14ac:dyDescent="0.25">
      <c r="B211" s="4">
        <f t="shared" si="28"/>
        <v>186</v>
      </c>
      <c r="C211" s="1" t="s">
        <v>638</v>
      </c>
      <c r="D211" s="2" t="s">
        <v>639</v>
      </c>
      <c r="E211" s="1" t="s">
        <v>44</v>
      </c>
      <c r="F211" s="9">
        <f>'M. Nova'!F1255</f>
        <v>4.1461290000000002</v>
      </c>
      <c r="G211" s="7"/>
      <c r="H211" s="6">
        <f t="shared" si="27"/>
        <v>0</v>
      </c>
    </row>
    <row r="212" spans="2:8" ht="33.75" x14ac:dyDescent="0.25">
      <c r="B212" s="4">
        <f t="shared" si="28"/>
        <v>187</v>
      </c>
      <c r="C212" s="1" t="s">
        <v>640</v>
      </c>
      <c r="D212" s="2" t="s">
        <v>641</v>
      </c>
      <c r="E212" s="1" t="s">
        <v>43</v>
      </c>
      <c r="F212" s="9">
        <f>'M. Nova'!F1260</f>
        <v>138.20430000000002</v>
      </c>
      <c r="G212" s="7"/>
      <c r="H212" s="6">
        <f t="shared" si="27"/>
        <v>0</v>
      </c>
    </row>
    <row r="213" spans="2:8" ht="33.75" x14ac:dyDescent="0.25">
      <c r="B213" s="4">
        <f t="shared" si="28"/>
        <v>188</v>
      </c>
      <c r="C213" s="1" t="s">
        <v>558</v>
      </c>
      <c r="D213" s="2" t="s">
        <v>642</v>
      </c>
      <c r="E213" s="1" t="s">
        <v>44</v>
      </c>
      <c r="F213" s="9">
        <f>'M. Nova'!F1264</f>
        <v>9.4666950000000014</v>
      </c>
      <c r="G213" s="7"/>
      <c r="H213" s="6">
        <f t="shared" si="27"/>
        <v>0</v>
      </c>
    </row>
    <row r="214" spans="2:8" ht="56.25" x14ac:dyDescent="0.25">
      <c r="B214" s="4">
        <f t="shared" si="28"/>
        <v>189</v>
      </c>
      <c r="C214" s="1" t="s">
        <v>643</v>
      </c>
      <c r="D214" s="2" t="s">
        <v>644</v>
      </c>
      <c r="E214" s="1" t="s">
        <v>369</v>
      </c>
      <c r="F214" s="9">
        <f>'M. Nova'!F1275</f>
        <v>40.92</v>
      </c>
      <c r="G214" s="7"/>
      <c r="H214" s="6">
        <f t="shared" si="27"/>
        <v>0</v>
      </c>
    </row>
    <row r="215" spans="2:8" ht="22.5" x14ac:dyDescent="0.25">
      <c r="B215" s="4">
        <f t="shared" si="28"/>
        <v>190</v>
      </c>
      <c r="C215" s="1" t="s">
        <v>554</v>
      </c>
      <c r="D215" s="2" t="s">
        <v>645</v>
      </c>
      <c r="E215" s="1" t="s">
        <v>369</v>
      </c>
      <c r="F215" s="9">
        <f>'M. Nova'!F1279</f>
        <v>40.92</v>
      </c>
      <c r="G215" s="7"/>
      <c r="H215" s="6">
        <f t="shared" si="27"/>
        <v>0</v>
      </c>
    </row>
    <row r="216" spans="2:8" ht="45" x14ac:dyDescent="0.25">
      <c r="B216" s="4">
        <f t="shared" si="28"/>
        <v>191</v>
      </c>
      <c r="C216" s="1" t="s">
        <v>646</v>
      </c>
      <c r="D216" s="2" t="s">
        <v>647</v>
      </c>
      <c r="E216" s="1" t="s">
        <v>369</v>
      </c>
      <c r="F216" s="9">
        <f>'M. Nova'!F1283</f>
        <v>10.5</v>
      </c>
      <c r="G216" s="7"/>
      <c r="H216" s="6">
        <f t="shared" si="27"/>
        <v>0</v>
      </c>
    </row>
    <row r="217" spans="2:8" ht="22.5" x14ac:dyDescent="0.25">
      <c r="B217" s="4">
        <f t="shared" si="28"/>
        <v>192</v>
      </c>
      <c r="C217" s="1" t="s">
        <v>648</v>
      </c>
      <c r="D217" s="2" t="s">
        <v>649</v>
      </c>
      <c r="E217" s="1" t="s">
        <v>369</v>
      </c>
      <c r="F217" s="9">
        <f>'M. Nova'!F1287</f>
        <v>10.5</v>
      </c>
      <c r="G217" s="7"/>
      <c r="H217" s="6">
        <f t="shared" si="27"/>
        <v>0</v>
      </c>
    </row>
    <row r="218" spans="2:8" ht="45" x14ac:dyDescent="0.25">
      <c r="B218" s="4">
        <f t="shared" si="28"/>
        <v>193</v>
      </c>
      <c r="C218" s="1" t="s">
        <v>650</v>
      </c>
      <c r="D218" s="2" t="s">
        <v>651</v>
      </c>
      <c r="E218" s="1" t="s">
        <v>369</v>
      </c>
      <c r="F218" s="9">
        <f>'M. Nova'!F1291</f>
        <v>343.95</v>
      </c>
      <c r="G218" s="7"/>
      <c r="H218" s="6">
        <f t="shared" si="27"/>
        <v>0</v>
      </c>
    </row>
    <row r="219" spans="2:8" ht="22.5" x14ac:dyDescent="0.25">
      <c r="B219" s="4">
        <f t="shared" si="28"/>
        <v>194</v>
      </c>
      <c r="C219" s="1" t="s">
        <v>652</v>
      </c>
      <c r="D219" s="2" t="s">
        <v>653</v>
      </c>
      <c r="E219" s="1" t="s">
        <v>369</v>
      </c>
      <c r="F219" s="9">
        <f>'M. Nova'!F1295</f>
        <v>343.95</v>
      </c>
      <c r="G219" s="7"/>
      <c r="H219" s="6">
        <f t="shared" si="27"/>
        <v>0</v>
      </c>
    </row>
    <row r="220" spans="2:8" ht="22.5" x14ac:dyDescent="0.25">
      <c r="B220" s="4">
        <f t="shared" si="28"/>
        <v>195</v>
      </c>
      <c r="C220" s="1" t="s">
        <v>654</v>
      </c>
      <c r="D220" s="2" t="s">
        <v>655</v>
      </c>
      <c r="E220" s="1" t="s">
        <v>43</v>
      </c>
      <c r="F220" s="9">
        <f>'M. Nova'!F1299</f>
        <v>138.20430000000002</v>
      </c>
      <c r="G220" s="7"/>
      <c r="H220" s="6">
        <f t="shared" si="27"/>
        <v>0</v>
      </c>
    </row>
    <row r="221" spans="2:8" ht="15.75" thickBot="1" x14ac:dyDescent="0.3">
      <c r="B221" s="59" t="s">
        <v>656</v>
      </c>
      <c r="C221" s="60"/>
      <c r="D221" s="60"/>
      <c r="E221" s="60"/>
      <c r="F221" s="60"/>
      <c r="G221" s="61"/>
      <c r="H221" s="11">
        <f>SUM(H197:H220)</f>
        <v>0</v>
      </c>
    </row>
  </sheetData>
  <mergeCells count="24">
    <mergeCell ref="B126:H126"/>
    <mergeCell ref="B174:G174"/>
    <mergeCell ref="B175:H175"/>
    <mergeCell ref="B2:H2"/>
    <mergeCell ref="B21:G21"/>
    <mergeCell ref="B22:H22"/>
    <mergeCell ref="B39:G39"/>
    <mergeCell ref="B40:H40"/>
    <mergeCell ref="B196:H196"/>
    <mergeCell ref="B221:G221"/>
    <mergeCell ref="B43:G43"/>
    <mergeCell ref="B82:H82"/>
    <mergeCell ref="B98:G98"/>
    <mergeCell ref="B99:H99"/>
    <mergeCell ref="B109:G109"/>
    <mergeCell ref="B186:H186"/>
    <mergeCell ref="B195:G195"/>
    <mergeCell ref="B185:G185"/>
    <mergeCell ref="B44:H44"/>
    <mergeCell ref="B81:G81"/>
    <mergeCell ref="B110:H110"/>
    <mergeCell ref="B114:G114"/>
    <mergeCell ref="B115:H115"/>
    <mergeCell ref="B125:G125"/>
  </mergeCells>
  <phoneticPr fontId="6" type="noConversion"/>
  <pageMargins left="0.511811024" right="0.511811024" top="0.78740157499999996" bottom="0.78740157499999996" header="0.31496062000000002" footer="0.31496062000000002"/>
  <pageSetup paperSize="9" scale="7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DAE25-3265-4EA0-8E47-1E8FD77FC29E}">
  <dimension ref="B2:K1301"/>
  <sheetViews>
    <sheetView tabSelected="1" topLeftCell="A1149" zoomScale="85" zoomScaleNormal="85" workbookViewId="0">
      <selection activeCell="F1161" sqref="F1161"/>
    </sheetView>
  </sheetViews>
  <sheetFormatPr defaultRowHeight="15" x14ac:dyDescent="0.25"/>
  <cols>
    <col min="3" max="3" width="26.140625" bestFit="1" customWidth="1"/>
    <col min="4" max="4" width="53.85546875" bestFit="1" customWidth="1"/>
    <col min="5" max="5" width="12.28515625" bestFit="1" customWidth="1"/>
    <col min="6" max="6" width="12.85546875" customWidth="1"/>
  </cols>
  <sheetData>
    <row r="2" spans="2:7" ht="15.75" x14ac:dyDescent="0.25">
      <c r="B2" s="65" t="s">
        <v>202</v>
      </c>
      <c r="C2" s="65"/>
      <c r="D2" s="65"/>
      <c r="E2" s="65"/>
      <c r="F2" s="65"/>
      <c r="G2" s="65"/>
    </row>
    <row r="3" spans="2:7" x14ac:dyDescent="0.25">
      <c r="B3" s="12">
        <f>'P. Nova'!B4</f>
        <v>1</v>
      </c>
      <c r="C3" s="12" t="str">
        <f>'P. Nova'!C4</f>
        <v>05.006.0001-1</v>
      </c>
      <c r="D3" s="12" t="str">
        <f>'P. Nova'!D4</f>
        <v>Locaçao de andaime</v>
      </c>
      <c r="E3" s="12" t="str">
        <f>'P. Nova'!E4</f>
        <v>m² x mês</v>
      </c>
      <c r="F3" s="14">
        <f>G8</f>
        <v>1618.5</v>
      </c>
    </row>
    <row r="5" spans="2:7" x14ac:dyDescent="0.25">
      <c r="E5" t="s">
        <v>113</v>
      </c>
      <c r="F5" t="s">
        <v>55</v>
      </c>
      <c r="G5" t="s">
        <v>197</v>
      </c>
    </row>
    <row r="6" spans="2:7" x14ac:dyDescent="0.25">
      <c r="E6" s="14">
        <v>41.5</v>
      </c>
      <c r="F6" s="14">
        <v>6.5</v>
      </c>
      <c r="G6" s="14">
        <f>TRUNC(E6*F6,2)</f>
        <v>269.75</v>
      </c>
    </row>
    <row r="7" spans="2:7" x14ac:dyDescent="0.25">
      <c r="E7" s="12" t="s">
        <v>197</v>
      </c>
      <c r="F7" s="12" t="s">
        <v>198</v>
      </c>
      <c r="G7" s="12" t="s">
        <v>29</v>
      </c>
    </row>
    <row r="8" spans="2:7" x14ac:dyDescent="0.25">
      <c r="E8" s="14">
        <f>G6</f>
        <v>269.75</v>
      </c>
      <c r="F8" s="14">
        <v>6</v>
      </c>
      <c r="G8" s="14">
        <f>TRUNC(E8*F8,2)</f>
        <v>1618.5</v>
      </c>
    </row>
    <row r="9" spans="2:7" x14ac:dyDescent="0.25">
      <c r="E9" s="14"/>
      <c r="F9" s="14"/>
      <c r="G9" s="14"/>
    </row>
    <row r="10" spans="2:7" x14ac:dyDescent="0.25">
      <c r="B10" s="12">
        <f>'P. Nova'!B5</f>
        <v>2</v>
      </c>
      <c r="C10" s="12" t="str">
        <f>'P. Nova'!C5</f>
        <v>04.020.0122-0</v>
      </c>
      <c r="D10" s="12" t="str">
        <f>'P. Nova'!D5</f>
        <v>Transporte de andaime</v>
      </c>
      <c r="E10" s="12" t="str">
        <f>'P. Nova'!E5</f>
        <v>m² x km</v>
      </c>
      <c r="F10" s="14">
        <f>G13</f>
        <v>6743.75</v>
      </c>
    </row>
    <row r="12" spans="2:7" x14ac:dyDescent="0.25">
      <c r="E12" t="s">
        <v>197</v>
      </c>
      <c r="F12" s="12" t="s">
        <v>199</v>
      </c>
      <c r="G12" s="12" t="s">
        <v>29</v>
      </c>
    </row>
    <row r="13" spans="2:7" x14ac:dyDescent="0.25">
      <c r="E13" s="14">
        <f>G6</f>
        <v>269.75</v>
      </c>
      <c r="F13" s="14">
        <v>25</v>
      </c>
      <c r="G13" s="14">
        <f>TRUNC(E13*F13,2)</f>
        <v>6743.75</v>
      </c>
    </row>
    <row r="14" spans="2:7" x14ac:dyDescent="0.25">
      <c r="E14" s="14"/>
      <c r="F14" s="14"/>
      <c r="G14" s="14"/>
    </row>
    <row r="15" spans="2:7" x14ac:dyDescent="0.25">
      <c r="B15" s="12">
        <f>'P. Nova'!B6</f>
        <v>3</v>
      </c>
      <c r="C15" s="12" t="str">
        <f>'P. Nova'!C6</f>
        <v>04.021.0010-0</v>
      </c>
      <c r="D15" s="12" t="str">
        <f>'P. Nova'!D6</f>
        <v>Carga e descarga de andaime</v>
      </c>
      <c r="E15" s="12" t="str">
        <f>'P. Nova'!E6</f>
        <v>m²</v>
      </c>
      <c r="F15" s="14">
        <f>G18</f>
        <v>269.75</v>
      </c>
    </row>
    <row r="17" spans="2:7" x14ac:dyDescent="0.25">
      <c r="F17" s="12"/>
      <c r="G17" s="12" t="s">
        <v>29</v>
      </c>
    </row>
    <row r="18" spans="2:7" x14ac:dyDescent="0.25">
      <c r="E18" s="14"/>
      <c r="F18" s="14"/>
      <c r="G18" s="14">
        <f>G6</f>
        <v>269.75</v>
      </c>
    </row>
    <row r="19" spans="2:7" x14ac:dyDescent="0.25">
      <c r="E19" s="14"/>
      <c r="F19" s="14"/>
      <c r="G19" s="14"/>
    </row>
    <row r="20" spans="2:7" x14ac:dyDescent="0.25">
      <c r="B20" s="12">
        <f>'P. Nova'!B7</f>
        <v>4</v>
      </c>
      <c r="C20" s="12" t="str">
        <f>'P. Nova'!C7</f>
        <v>05.008.0001-0</v>
      </c>
      <c r="D20" s="12" t="str">
        <f>'P. Nova'!D7</f>
        <v>Montagem e desmontagem de andaime</v>
      </c>
      <c r="E20" s="12" t="str">
        <f>'P. Nova'!E7</f>
        <v>m²</v>
      </c>
      <c r="F20" s="14">
        <f>G23</f>
        <v>1079</v>
      </c>
    </row>
    <row r="22" spans="2:7" x14ac:dyDescent="0.25">
      <c r="E22" t="s">
        <v>197</v>
      </c>
      <c r="F22" s="12" t="s">
        <v>174</v>
      </c>
      <c r="G22" s="12" t="s">
        <v>29</v>
      </c>
    </row>
    <row r="23" spans="2:7" x14ac:dyDescent="0.25">
      <c r="E23" s="14">
        <f>G6</f>
        <v>269.75</v>
      </c>
      <c r="F23" s="14">
        <v>4</v>
      </c>
      <c r="G23" s="14">
        <f>TRUNC(E23*F23,2)</f>
        <v>1079</v>
      </c>
    </row>
    <row r="24" spans="2:7" x14ac:dyDescent="0.25">
      <c r="E24" s="14"/>
      <c r="F24" s="14"/>
      <c r="G24" s="14"/>
    </row>
    <row r="25" spans="2:7" x14ac:dyDescent="0.25">
      <c r="B25" s="12">
        <f>'P. Nova'!B8</f>
        <v>5</v>
      </c>
      <c r="C25" s="12" t="str">
        <f>'P. Nova'!C8</f>
        <v>05.007.0007-0</v>
      </c>
      <c r="D25" s="12" t="str">
        <f>'P. Nova'!D8</f>
        <v xml:space="preserve">Passarela metálica para andaime </v>
      </c>
      <c r="E25" s="12" t="str">
        <f>'P. Nova'!E8</f>
        <v>m² x mês</v>
      </c>
      <c r="F25" s="14">
        <f>G30</f>
        <v>332</v>
      </c>
    </row>
    <row r="27" spans="2:7" x14ac:dyDescent="0.25">
      <c r="D27" t="s">
        <v>200</v>
      </c>
      <c r="E27" t="s">
        <v>61</v>
      </c>
      <c r="F27" s="12" t="s">
        <v>174</v>
      </c>
      <c r="G27" s="12" t="s">
        <v>197</v>
      </c>
    </row>
    <row r="28" spans="2:7" x14ac:dyDescent="0.25">
      <c r="D28" s="14">
        <v>1</v>
      </c>
      <c r="E28" s="14">
        <f>E6</f>
        <v>41.5</v>
      </c>
      <c r="F28" s="14">
        <v>2</v>
      </c>
      <c r="G28" s="14">
        <f>TRUNC(E28*F28*D28,2)</f>
        <v>83</v>
      </c>
    </row>
    <row r="29" spans="2:7" x14ac:dyDescent="0.25">
      <c r="E29" s="12" t="s">
        <v>197</v>
      </c>
      <c r="F29" s="12" t="s">
        <v>198</v>
      </c>
      <c r="G29" s="12" t="s">
        <v>29</v>
      </c>
    </row>
    <row r="30" spans="2:7" x14ac:dyDescent="0.25">
      <c r="E30" s="14">
        <f>G28</f>
        <v>83</v>
      </c>
      <c r="F30" s="14">
        <v>4</v>
      </c>
      <c r="G30" s="14">
        <f>TRUNC(E30*F30,2)</f>
        <v>332</v>
      </c>
    </row>
    <row r="31" spans="2:7" x14ac:dyDescent="0.25">
      <c r="E31" s="14"/>
      <c r="F31" s="14"/>
      <c r="G31" s="14"/>
    </row>
    <row r="32" spans="2:7" x14ac:dyDescent="0.25">
      <c r="B32" s="12">
        <f>'P. Nova'!B9</f>
        <v>6</v>
      </c>
      <c r="C32" s="12" t="str">
        <f>'P. Nova'!C9</f>
        <v>05.005.0050-0</v>
      </c>
      <c r="D32" s="12" t="str">
        <f>'P. Nova'!D9</f>
        <v>Tela de proteção de fachada</v>
      </c>
      <c r="E32" s="12" t="str">
        <f>'P. Nova'!E9</f>
        <v>m²</v>
      </c>
      <c r="F32" s="14">
        <f>G35</f>
        <v>269.75</v>
      </c>
    </row>
    <row r="34" spans="2:7" x14ac:dyDescent="0.25">
      <c r="F34" s="12"/>
      <c r="G34" s="12" t="s">
        <v>197</v>
      </c>
    </row>
    <row r="35" spans="2:7" x14ac:dyDescent="0.25">
      <c r="C35" t="s">
        <v>257</v>
      </c>
      <c r="E35" s="14"/>
      <c r="F35" s="14"/>
      <c r="G35" s="14">
        <f>G6</f>
        <v>269.75</v>
      </c>
    </row>
    <row r="36" spans="2:7" x14ac:dyDescent="0.25">
      <c r="E36" s="14"/>
      <c r="F36" s="14"/>
      <c r="G36" s="14"/>
    </row>
    <row r="37" spans="2:7" x14ac:dyDescent="0.25">
      <c r="B37" s="12">
        <f>'P. Nova'!B10</f>
        <v>7</v>
      </c>
      <c r="C37" s="12" t="str">
        <f>'P. Nova'!C10</f>
        <v>37526 (SINAPI)</v>
      </c>
      <c r="D37" s="12" t="str">
        <f>'P. Nova'!D10</f>
        <v>Saco de ráfia</v>
      </c>
      <c r="E37" s="12" t="str">
        <f>'P. Nova'!E10</f>
        <v>unid</v>
      </c>
      <c r="F37" s="14">
        <f>G40</f>
        <v>300</v>
      </c>
    </row>
    <row r="39" spans="2:7" x14ac:dyDescent="0.25">
      <c r="F39" s="12"/>
      <c r="G39" s="12" t="s">
        <v>29</v>
      </c>
    </row>
    <row r="40" spans="2:7" x14ac:dyDescent="0.25">
      <c r="C40" t="s">
        <v>260</v>
      </c>
      <c r="E40" s="14"/>
      <c r="F40" s="14"/>
      <c r="G40" s="14">
        <v>300</v>
      </c>
    </row>
    <row r="41" spans="2:7" x14ac:dyDescent="0.25">
      <c r="E41" s="14"/>
      <c r="F41" s="14"/>
      <c r="G41" s="14"/>
    </row>
    <row r="42" spans="2:7" x14ac:dyDescent="0.25">
      <c r="B42" s="12">
        <f>'P. Nova'!B11</f>
        <v>8</v>
      </c>
      <c r="C42" s="12" t="str">
        <f>'P. Nova'!C11</f>
        <v>02.020.0001-0</v>
      </c>
      <c r="D42" s="12" t="str">
        <f>'P. Nova'!D11</f>
        <v>Placa de obra</v>
      </c>
      <c r="E42" s="12" t="str">
        <f>'P. Nova'!E11</f>
        <v>m²</v>
      </c>
      <c r="F42" s="14">
        <f>G45</f>
        <v>8</v>
      </c>
    </row>
    <row r="44" spans="2:7" x14ac:dyDescent="0.25">
      <c r="F44" s="12"/>
      <c r="G44" s="12" t="s">
        <v>29</v>
      </c>
    </row>
    <row r="45" spans="2:7" x14ac:dyDescent="0.25">
      <c r="C45" t="s">
        <v>265</v>
      </c>
      <c r="E45" s="14"/>
      <c r="F45" s="14"/>
      <c r="G45" s="14">
        <f>8</f>
        <v>8</v>
      </c>
    </row>
    <row r="46" spans="2:7" x14ac:dyDescent="0.25">
      <c r="E46" s="14"/>
      <c r="F46" s="14"/>
      <c r="G46" s="14"/>
    </row>
    <row r="47" spans="2:7" x14ac:dyDescent="0.25">
      <c r="B47" s="12">
        <f>'P. Nova'!B12</f>
        <v>9</v>
      </c>
      <c r="C47" s="12" t="str">
        <f>'P. Nova'!C12</f>
        <v>19.011.0016-2</v>
      </c>
      <c r="D47" s="12" t="str">
        <f>'P. Nova'!D12</f>
        <v>Talha manual</v>
      </c>
      <c r="E47" s="12" t="str">
        <f>'P. Nova'!E12</f>
        <v>H</v>
      </c>
      <c r="F47" s="14">
        <f>G50</f>
        <v>176</v>
      </c>
    </row>
    <row r="49" spans="2:7" x14ac:dyDescent="0.25">
      <c r="E49" t="s">
        <v>287</v>
      </c>
      <c r="F49" s="12" t="s">
        <v>288</v>
      </c>
      <c r="G49" s="12" t="s">
        <v>29</v>
      </c>
    </row>
    <row r="50" spans="2:7" x14ac:dyDescent="0.25">
      <c r="C50" t="s">
        <v>286</v>
      </c>
      <c r="E50" s="14">
        <f>4*22</f>
        <v>88</v>
      </c>
      <c r="F50" s="14">
        <v>2</v>
      </c>
      <c r="G50" s="14">
        <f>TRUNC(E50*F50,2)</f>
        <v>176</v>
      </c>
    </row>
    <row r="51" spans="2:7" x14ac:dyDescent="0.25">
      <c r="E51" s="14"/>
      <c r="F51" s="14"/>
      <c r="G51" s="14"/>
    </row>
    <row r="52" spans="2:7" x14ac:dyDescent="0.25">
      <c r="B52" s="12">
        <f>'P. Nova'!B13</f>
        <v>10</v>
      </c>
      <c r="C52" s="12" t="str">
        <f>'P. Nova'!C13</f>
        <v>01.050.0023-0</v>
      </c>
      <c r="D52" s="8" t="str">
        <f>'P. Nova'!D13</f>
        <v>PROJETO EXECUTIVO DE ARQUITETURA PARA PREDIOS CULTURAIS DE 501 ATE 3.000M2</v>
      </c>
      <c r="E52" s="12" t="str">
        <f>'P. Nova'!E13</f>
        <v>m²</v>
      </c>
      <c r="F52" s="14">
        <f>G57</f>
        <v>849.47719999999993</v>
      </c>
    </row>
    <row r="54" spans="2:7" x14ac:dyDescent="0.25">
      <c r="F54" t="s">
        <v>197</v>
      </c>
    </row>
    <row r="55" spans="2:7" x14ac:dyDescent="0.25">
      <c r="C55" t="s">
        <v>479</v>
      </c>
      <c r="E55" s="14"/>
      <c r="F55" s="14">
        <f>29.5*(11.93+11.5)</f>
        <v>691.18499999999995</v>
      </c>
    </row>
    <row r="56" spans="2:7" x14ac:dyDescent="0.25">
      <c r="C56" t="s">
        <v>480</v>
      </c>
      <c r="F56" s="12">
        <f>37.4822+120.81</f>
        <v>158.29220000000001</v>
      </c>
      <c r="G56" s="12" t="s">
        <v>29</v>
      </c>
    </row>
    <row r="57" spans="2:7" x14ac:dyDescent="0.25">
      <c r="E57" s="14"/>
      <c r="F57" s="14"/>
      <c r="G57" s="14">
        <f>F55+F56</f>
        <v>849.47719999999993</v>
      </c>
    </row>
    <row r="58" spans="2:7" x14ac:dyDescent="0.25">
      <c r="E58" s="14"/>
      <c r="F58" s="14"/>
      <c r="G58" s="14"/>
    </row>
    <row r="59" spans="2:7" x14ac:dyDescent="0.25">
      <c r="B59" s="12">
        <f>'P. Nova'!B14</f>
        <v>11</v>
      </c>
      <c r="C59" s="12" t="str">
        <f>'P. Nova'!C14</f>
        <v>01.050.0053-0</v>
      </c>
      <c r="D59" s="8" t="str">
        <f>'P. Nova'!D14</f>
        <v>PROJETO EXECUTIVO DE INSTALACAO DE INCENDIO E SPDA PARA PREDIOS CULTURAIS ACIMA DE 500M2</v>
      </c>
      <c r="E59" s="12" t="str">
        <f>'P. Nova'!E14</f>
        <v>m²</v>
      </c>
      <c r="F59" s="14">
        <f>G62</f>
        <v>849.47719999999993</v>
      </c>
    </row>
    <row r="60" spans="2:7" x14ac:dyDescent="0.25">
      <c r="B60" s="12"/>
      <c r="C60" s="12"/>
      <c r="D60" s="8"/>
      <c r="E60" s="12"/>
      <c r="F60" s="14"/>
    </row>
    <row r="61" spans="2:7" x14ac:dyDescent="0.25">
      <c r="G61" t="s">
        <v>29</v>
      </c>
    </row>
    <row r="62" spans="2:7" x14ac:dyDescent="0.25">
      <c r="C62" t="s">
        <v>481</v>
      </c>
      <c r="E62" s="14"/>
      <c r="F62" s="14"/>
      <c r="G62" s="14">
        <f>F52</f>
        <v>849.47719999999993</v>
      </c>
    </row>
    <row r="63" spans="2:7" x14ac:dyDescent="0.25">
      <c r="E63" s="14"/>
      <c r="F63" s="14"/>
    </row>
    <row r="64" spans="2:7" x14ac:dyDescent="0.25">
      <c r="B64" s="12">
        <f>'P. Nova'!B15</f>
        <v>12</v>
      </c>
      <c r="C64" s="12" t="str">
        <f>'P. Nova'!C15</f>
        <v>01.050.0116-0</v>
      </c>
      <c r="D64" s="8" t="str">
        <f>'P. Nova'!D15</f>
        <v>PROJETO EXECUTIVO DE INSTALACAO ELETRICA PARA PREDIOS CULTURAIS ATE 3.000M2</v>
      </c>
      <c r="E64" s="12" t="str">
        <f>'P. Nova'!E15</f>
        <v>m²</v>
      </c>
      <c r="F64" s="14">
        <f>G67</f>
        <v>849.47719999999993</v>
      </c>
    </row>
    <row r="66" spans="2:7" x14ac:dyDescent="0.25">
      <c r="G66" t="s">
        <v>29</v>
      </c>
    </row>
    <row r="67" spans="2:7" x14ac:dyDescent="0.25">
      <c r="C67" t="s">
        <v>481</v>
      </c>
      <c r="E67" s="14"/>
      <c r="F67" s="14"/>
      <c r="G67" s="14">
        <f>F52</f>
        <v>849.47719999999993</v>
      </c>
    </row>
    <row r="68" spans="2:7" x14ac:dyDescent="0.25">
      <c r="E68" s="14"/>
      <c r="F68" s="14"/>
      <c r="G68" s="14"/>
    </row>
    <row r="69" spans="2:7" x14ac:dyDescent="0.25">
      <c r="B69" s="12">
        <f>'P. Nova'!B16</f>
        <v>13</v>
      </c>
      <c r="C69" s="12">
        <f>'P. Nova'!C16</f>
        <v>98459</v>
      </c>
      <c r="D69" s="12" t="str">
        <f>'P. Nova'!D16</f>
        <v>Tapume com telha metálica</v>
      </c>
      <c r="E69" s="12" t="str">
        <f>'P. Nova'!E16</f>
        <v>m²</v>
      </c>
      <c r="F69" s="14">
        <f>G75</f>
        <v>44</v>
      </c>
    </row>
    <row r="71" spans="2:7" x14ac:dyDescent="0.25">
      <c r="E71" t="s">
        <v>61</v>
      </c>
      <c r="F71" s="12" t="s">
        <v>55</v>
      </c>
    </row>
    <row r="72" spans="2:7" x14ac:dyDescent="0.25">
      <c r="C72" t="s">
        <v>31</v>
      </c>
      <c r="E72" s="23">
        <v>11.5</v>
      </c>
      <c r="F72" s="23">
        <v>2</v>
      </c>
    </row>
    <row r="73" spans="2:7" x14ac:dyDescent="0.25">
      <c r="C73" t="s">
        <v>343</v>
      </c>
      <c r="E73" s="14">
        <v>6</v>
      </c>
      <c r="F73" s="14">
        <v>3.5</v>
      </c>
    </row>
    <row r="74" spans="2:7" x14ac:dyDescent="0.25">
      <c r="E74" s="12" t="s">
        <v>197</v>
      </c>
      <c r="F74" s="12"/>
      <c r="G74" s="12" t="s">
        <v>29</v>
      </c>
    </row>
    <row r="75" spans="2:7" x14ac:dyDescent="0.25">
      <c r="E75" s="14">
        <f>(E72*F72)+(E73*F73)</f>
        <v>44</v>
      </c>
      <c r="F75" s="14"/>
      <c r="G75" s="14">
        <f>E75</f>
        <v>44</v>
      </c>
    </row>
    <row r="76" spans="2:7" x14ac:dyDescent="0.25">
      <c r="E76" s="14"/>
      <c r="F76" s="14"/>
      <c r="G76" s="14"/>
    </row>
    <row r="77" spans="2:7" x14ac:dyDescent="0.25">
      <c r="B77" s="12">
        <f>'P. Nova'!B17</f>
        <v>14</v>
      </c>
      <c r="C77" s="12">
        <f>'P. Nova'!C17</f>
        <v>97637</v>
      </c>
      <c r="D77" s="12" t="str">
        <f>'P. Nova'!D17</f>
        <v>Remoção de tapume com telha metálica</v>
      </c>
      <c r="E77" s="12" t="str">
        <f>'P. Nova'!E17</f>
        <v>m²</v>
      </c>
      <c r="F77" s="14">
        <f>G80</f>
        <v>44</v>
      </c>
    </row>
    <row r="79" spans="2:7" x14ac:dyDescent="0.25">
      <c r="C79" t="s">
        <v>101</v>
      </c>
      <c r="E79" s="12" t="s">
        <v>197</v>
      </c>
      <c r="F79" s="12"/>
      <c r="G79" s="12" t="s">
        <v>29</v>
      </c>
    </row>
    <row r="80" spans="2:7" x14ac:dyDescent="0.25">
      <c r="E80" s="14">
        <f>E75</f>
        <v>44</v>
      </c>
      <c r="F80" s="14"/>
      <c r="G80" s="14">
        <f>E80</f>
        <v>44</v>
      </c>
    </row>
    <row r="81" spans="2:7" x14ac:dyDescent="0.25">
      <c r="F81" s="12"/>
      <c r="G81" s="12"/>
    </row>
    <row r="82" spans="2:7" x14ac:dyDescent="0.25">
      <c r="B82" s="12">
        <f>'P. Nova'!B18</f>
        <v>15</v>
      </c>
      <c r="C82" s="12">
        <f>'P. Nova'!C18</f>
        <v>3631</v>
      </c>
      <c r="D82" s="12" t="str">
        <f>'P. Nova'!D18</f>
        <v>Lona de polietileno (lona de terreiro)</v>
      </c>
      <c r="E82" s="12" t="str">
        <f>'P. Nova'!E18</f>
        <v>m²</v>
      </c>
      <c r="F82" s="14">
        <f>G85</f>
        <v>1200</v>
      </c>
    </row>
    <row r="84" spans="2:7" x14ac:dyDescent="0.25">
      <c r="F84" s="12"/>
      <c r="G84" s="12" t="s">
        <v>29</v>
      </c>
    </row>
    <row r="85" spans="2:7" x14ac:dyDescent="0.25">
      <c r="C85" t="s">
        <v>344</v>
      </c>
      <c r="F85" s="12"/>
      <c r="G85" s="14">
        <v>1200</v>
      </c>
    </row>
    <row r="86" spans="2:7" x14ac:dyDescent="0.25">
      <c r="F86" s="12"/>
    </row>
    <row r="87" spans="2:7" x14ac:dyDescent="0.25">
      <c r="B87" s="12">
        <f>'P. Nova'!B19</f>
        <v>16</v>
      </c>
      <c r="C87" s="12" t="str">
        <f>'P. Nova'!C19</f>
        <v>01.050.0325-0</v>
      </c>
      <c r="D87" s="8" t="str">
        <f>'P. Nova'!D19</f>
        <v>SERVICOS DE ELABORACAO DE VISTORIAS,LAUDOS TECNICOS,PARA EXECUCAO DE RECUPERACAO ESTRUTURAL DE PREDIOS PUBLICOS,COM AREAS DE PROJECAO HORIZONTAL ATE 1000M2</v>
      </c>
      <c r="E87" s="12" t="str">
        <f>'P. Nova'!E19</f>
        <v>m²</v>
      </c>
      <c r="F87" s="14">
        <f>G90</f>
        <v>351.935</v>
      </c>
    </row>
    <row r="89" spans="2:7" x14ac:dyDescent="0.25">
      <c r="G89" t="s">
        <v>29</v>
      </c>
    </row>
    <row r="90" spans="2:7" x14ac:dyDescent="0.25">
      <c r="C90" t="s">
        <v>489</v>
      </c>
      <c r="E90" s="14"/>
      <c r="F90" s="14"/>
      <c r="G90" s="14">
        <f>29.5*11.93</f>
        <v>351.935</v>
      </c>
    </row>
    <row r="91" spans="2:7" x14ac:dyDescent="0.25">
      <c r="F91" s="12"/>
    </row>
    <row r="92" spans="2:7" x14ac:dyDescent="0.25">
      <c r="B92" s="12">
        <f>'P. Nova'!B20</f>
        <v>17</v>
      </c>
      <c r="C92" s="12" t="str">
        <f>'P. Nova'!C20</f>
        <v>19.010.0040-2</v>
      </c>
      <c r="D92" s="8" t="str">
        <f>'P. Nova'!D20</f>
        <v>CUSTO HORARIO CORRIDO DE UTILIZACAO DE EQUIPAMENTOS HIDROJATO CONJUGADO COM SUCCAO ATRAVES DE VACUO,COMPRESSOR ACIONADO POR TOMADA DE FORCA TIPO ROTATIVO E COM JOGO DE MANGUEIRAS PARA CAPTACAO DE 6" E 8",ESTA ATRAVES DE BRACO ROTATIVO,TANQUE DE ARMAZENAMENTO DE 12.000L,INCLUSIVE EQUIPE DE OPERACAO</v>
      </c>
      <c r="E92" s="12" t="str">
        <f>'P. Nova'!E20</f>
        <v>H</v>
      </c>
      <c r="F92" s="14">
        <f>G95</f>
        <v>40</v>
      </c>
    </row>
    <row r="94" spans="2:7" x14ac:dyDescent="0.25">
      <c r="G94" t="s">
        <v>29</v>
      </c>
    </row>
    <row r="95" spans="2:7" x14ac:dyDescent="0.25">
      <c r="C95" t="s">
        <v>498</v>
      </c>
      <c r="E95" s="14"/>
      <c r="F95" s="14"/>
      <c r="G95" s="14">
        <f>5*8</f>
        <v>40</v>
      </c>
    </row>
    <row r="96" spans="2:7" x14ac:dyDescent="0.25">
      <c r="E96" s="14"/>
      <c r="F96" s="14"/>
      <c r="G96" s="14"/>
    </row>
    <row r="97" spans="2:8" ht="15.75" x14ac:dyDescent="0.25">
      <c r="B97" s="65" t="s">
        <v>51</v>
      </c>
      <c r="C97" s="65"/>
      <c r="D97" s="65"/>
      <c r="E97" s="65"/>
      <c r="F97" s="65"/>
      <c r="G97" s="65"/>
    </row>
    <row r="98" spans="2:8" x14ac:dyDescent="0.25">
      <c r="B98" s="12">
        <f>'P. Nova'!B23</f>
        <v>18</v>
      </c>
      <c r="C98" s="12" t="str">
        <f>'P. Nova'!C23</f>
        <v>05.001.0025-0</v>
      </c>
      <c r="D98" s="8" t="str">
        <f>'P. Nova'!D23</f>
        <v>Demolição Bloco Concreto</v>
      </c>
      <c r="E98" s="12" t="str">
        <f>'P. Nova'!E23</f>
        <v>m³</v>
      </c>
      <c r="F98" s="14">
        <f>G104</f>
        <v>6.3</v>
      </c>
    </row>
    <row r="100" spans="2:8" x14ac:dyDescent="0.25">
      <c r="D100" s="12" t="s">
        <v>54</v>
      </c>
      <c r="E100" t="s">
        <v>61</v>
      </c>
      <c r="F100" s="12" t="s">
        <v>55</v>
      </c>
      <c r="G100" s="12" t="s">
        <v>29</v>
      </c>
    </row>
    <row r="101" spans="2:8" x14ac:dyDescent="0.25">
      <c r="B101" t="s">
        <v>30</v>
      </c>
      <c r="C101" t="s">
        <v>56</v>
      </c>
      <c r="D101" s="14">
        <v>0.2</v>
      </c>
      <c r="E101" s="14">
        <v>5</v>
      </c>
      <c r="F101" s="14">
        <v>3.5</v>
      </c>
      <c r="G101" s="14">
        <f>TRUNC(D101*E101*F101,2)</f>
        <v>3.5</v>
      </c>
    </row>
    <row r="102" spans="2:8" x14ac:dyDescent="0.25">
      <c r="B102" t="s">
        <v>30</v>
      </c>
      <c r="C102" t="s">
        <v>57</v>
      </c>
      <c r="D102" s="14">
        <v>0.2</v>
      </c>
      <c r="E102" s="14">
        <v>2</v>
      </c>
      <c r="F102" s="14">
        <v>2.5</v>
      </c>
      <c r="G102" s="14">
        <f t="shared" ref="G102:G103" si="0">TRUNC(D102*E102*F102,2)</f>
        <v>1</v>
      </c>
    </row>
    <row r="103" spans="2:8" x14ac:dyDescent="0.25">
      <c r="B103" t="s">
        <v>30</v>
      </c>
      <c r="C103" t="s">
        <v>58</v>
      </c>
      <c r="D103" s="14">
        <v>0.2</v>
      </c>
      <c r="E103" s="14">
        <v>3.6</v>
      </c>
      <c r="F103" s="14">
        <v>2.5</v>
      </c>
      <c r="G103" s="14">
        <f t="shared" si="0"/>
        <v>1.8</v>
      </c>
    </row>
    <row r="104" spans="2:8" x14ac:dyDescent="0.25">
      <c r="G104" s="14">
        <f>SUM(G101:G103)</f>
        <v>6.3</v>
      </c>
    </row>
    <row r="106" spans="2:8" x14ac:dyDescent="0.25">
      <c r="B106" s="12">
        <f>'P. Nova'!B24</f>
        <v>19</v>
      </c>
      <c r="C106" t="str">
        <f>'P. Nova'!C24</f>
        <v>05.001.0015-0</v>
      </c>
      <c r="D106" t="str">
        <f>'P. Nova'!D24</f>
        <v>Demolição de Piso</v>
      </c>
      <c r="E106" s="12" t="str">
        <f>'P. Nova'!E24</f>
        <v>m²</v>
      </c>
      <c r="F106" s="13">
        <f>G115</f>
        <v>133.15</v>
      </c>
    </row>
    <row r="108" spans="2:8" x14ac:dyDescent="0.25">
      <c r="D108" s="12" t="s">
        <v>63</v>
      </c>
      <c r="E108" t="s">
        <v>61</v>
      </c>
      <c r="F108" t="s">
        <v>62</v>
      </c>
      <c r="G108" s="12" t="s">
        <v>29</v>
      </c>
    </row>
    <row r="109" spans="2:8" x14ac:dyDescent="0.25">
      <c r="C109" t="s">
        <v>31</v>
      </c>
      <c r="D109" s="15">
        <v>0.5</v>
      </c>
      <c r="E109" s="12">
        <v>11.5</v>
      </c>
      <c r="F109" s="12">
        <v>5.05</v>
      </c>
      <c r="G109" s="14">
        <f>TRUNC(D109*E109*F109,2)</f>
        <v>29.03</v>
      </c>
    </row>
    <row r="110" spans="2:8" x14ac:dyDescent="0.25">
      <c r="C110" t="s">
        <v>64</v>
      </c>
      <c r="D110" s="16">
        <v>1</v>
      </c>
      <c r="E110" s="12">
        <v>1.73</v>
      </c>
      <c r="F110" s="12">
        <v>1.71</v>
      </c>
      <c r="G110" s="14">
        <f>TRUNC(D110*E110*F110,2)</f>
        <v>2.95</v>
      </c>
    </row>
    <row r="111" spans="2:8" x14ac:dyDescent="0.25">
      <c r="C111" t="s">
        <v>65</v>
      </c>
      <c r="D111" s="16">
        <v>1</v>
      </c>
      <c r="E111" s="12">
        <v>6.26</v>
      </c>
      <c r="F111" s="12">
        <v>4.79</v>
      </c>
      <c r="G111" s="14">
        <f>TRUNC(D111*E111*F111,2)</f>
        <v>29.98</v>
      </c>
    </row>
    <row r="112" spans="2:8" x14ac:dyDescent="0.25">
      <c r="C112" t="s">
        <v>66</v>
      </c>
      <c r="D112" s="16">
        <v>1</v>
      </c>
      <c r="E112" s="12">
        <v>6.77</v>
      </c>
      <c r="F112" s="12">
        <v>5.76</v>
      </c>
      <c r="G112" s="14">
        <f>TRUNC(D112*E112*F112,2)</f>
        <v>38.99</v>
      </c>
      <c r="H112" s="12" t="s">
        <v>339</v>
      </c>
    </row>
    <row r="113" spans="2:8" x14ac:dyDescent="0.25">
      <c r="C113" s="26" t="s">
        <v>435</v>
      </c>
      <c r="D113" s="29"/>
      <c r="E113" s="28">
        <v>1</v>
      </c>
      <c r="F113" s="28">
        <v>1</v>
      </c>
      <c r="G113" s="27">
        <f>TRUNC(H113*E113*F113,2)</f>
        <v>22</v>
      </c>
      <c r="H113" s="28">
        <v>22</v>
      </c>
    </row>
    <row r="114" spans="2:8" x14ac:dyDescent="0.25">
      <c r="C114" s="26" t="s">
        <v>596</v>
      </c>
      <c r="D114" s="29"/>
      <c r="E114" s="28">
        <v>68</v>
      </c>
      <c r="F114" s="28">
        <v>0.15</v>
      </c>
      <c r="G114" s="27">
        <f>TRUNC(E114*F114,2)</f>
        <v>10.199999999999999</v>
      </c>
      <c r="H114" s="28"/>
    </row>
    <row r="115" spans="2:8" x14ac:dyDescent="0.25">
      <c r="G115" s="14">
        <f>SUM(G109:G114)</f>
        <v>133.15</v>
      </c>
    </row>
    <row r="117" spans="2:8" x14ac:dyDescent="0.25">
      <c r="B117" s="12">
        <f>'P. Nova'!B25</f>
        <v>20</v>
      </c>
      <c r="C117" s="12" t="str">
        <f>'P. Nova'!C25</f>
        <v>97645 (SINAPI)</v>
      </c>
      <c r="D117" s="8" t="str">
        <f>'P. Nova'!D25</f>
        <v>Remoção de janela</v>
      </c>
      <c r="E117" s="12" t="str">
        <f>'P. Nova'!E25</f>
        <v>m²</v>
      </c>
      <c r="F117" s="13">
        <f>G126</f>
        <v>23.610000000000003</v>
      </c>
    </row>
    <row r="119" spans="2:8" x14ac:dyDescent="0.25">
      <c r="D119" s="12" t="s">
        <v>68</v>
      </c>
      <c r="E119" t="s">
        <v>61</v>
      </c>
      <c r="F119" s="12" t="s">
        <v>55</v>
      </c>
      <c r="G119" s="12" t="s">
        <v>29</v>
      </c>
    </row>
    <row r="120" spans="2:8" x14ac:dyDescent="0.25">
      <c r="C120" t="s">
        <v>69</v>
      </c>
      <c r="D120" s="14">
        <v>3</v>
      </c>
      <c r="E120" s="14">
        <v>1.87</v>
      </c>
      <c r="F120" s="14">
        <v>1.75</v>
      </c>
      <c r="G120" s="14">
        <f t="shared" ref="G120:G125" si="1">TRUNC(D120*E120*F120,2)</f>
        <v>9.81</v>
      </c>
    </row>
    <row r="121" spans="2:8" x14ac:dyDescent="0.25">
      <c r="C121" t="s">
        <v>84</v>
      </c>
      <c r="D121" s="14">
        <v>1</v>
      </c>
      <c r="E121" s="14">
        <v>2</v>
      </c>
      <c r="F121" s="14">
        <v>1.5</v>
      </c>
      <c r="G121" s="14">
        <f t="shared" si="1"/>
        <v>3</v>
      </c>
    </row>
    <row r="122" spans="2:8" x14ac:dyDescent="0.25">
      <c r="C122" t="s">
        <v>46</v>
      </c>
      <c r="D122" s="14">
        <v>1</v>
      </c>
      <c r="E122" s="14">
        <v>2</v>
      </c>
      <c r="F122" s="14">
        <v>1.5</v>
      </c>
      <c r="G122" s="14">
        <f t="shared" si="1"/>
        <v>3</v>
      </c>
    </row>
    <row r="123" spans="2:8" x14ac:dyDescent="0.25">
      <c r="C123" t="s">
        <v>39</v>
      </c>
      <c r="D123" s="14">
        <v>1</v>
      </c>
      <c r="E123" s="14">
        <v>1</v>
      </c>
      <c r="F123" s="14">
        <v>1.5</v>
      </c>
      <c r="G123" s="14">
        <f t="shared" si="1"/>
        <v>1.5</v>
      </c>
    </row>
    <row r="124" spans="2:8" x14ac:dyDescent="0.25">
      <c r="C124" t="s">
        <v>87</v>
      </c>
      <c r="D124" s="14">
        <v>1</v>
      </c>
      <c r="E124" s="14">
        <v>1.7</v>
      </c>
      <c r="F124" s="14">
        <v>1.5</v>
      </c>
      <c r="G124" s="14">
        <f t="shared" si="1"/>
        <v>2.5499999999999998</v>
      </c>
    </row>
    <row r="125" spans="2:8" x14ac:dyDescent="0.25">
      <c r="C125" t="s">
        <v>88</v>
      </c>
      <c r="D125" s="14">
        <v>1</v>
      </c>
      <c r="E125" s="14">
        <v>2.5</v>
      </c>
      <c r="F125" s="14">
        <v>1.5</v>
      </c>
      <c r="G125" s="14">
        <f t="shared" si="1"/>
        <v>3.75</v>
      </c>
    </row>
    <row r="126" spans="2:8" x14ac:dyDescent="0.25">
      <c r="D126" s="14"/>
      <c r="E126" s="14"/>
      <c r="F126" s="14"/>
      <c r="G126" s="14">
        <f>SUM(G120:G125)</f>
        <v>23.610000000000003</v>
      </c>
    </row>
    <row r="127" spans="2:8" x14ac:dyDescent="0.25">
      <c r="D127" s="14"/>
      <c r="E127" s="14"/>
      <c r="F127" s="14"/>
      <c r="G127" s="14"/>
    </row>
    <row r="129" spans="2:7" x14ac:dyDescent="0.25">
      <c r="B129" s="12">
        <f>'P. Nova'!B26</f>
        <v>21</v>
      </c>
      <c r="C129" s="12" t="str">
        <f>'P. Nova'!C26</f>
        <v>97644 (SINAPI)</v>
      </c>
      <c r="D129" s="8" t="str">
        <f>'P. Nova'!D26</f>
        <v>Remoção de porta</v>
      </c>
      <c r="E129" s="12" t="str">
        <f>'P. Nova'!E26</f>
        <v>m²</v>
      </c>
      <c r="F129" s="13">
        <f>G144</f>
        <v>24.09</v>
      </c>
    </row>
    <row r="131" spans="2:7" x14ac:dyDescent="0.25">
      <c r="D131" s="12" t="s">
        <v>68</v>
      </c>
      <c r="E131" t="s">
        <v>61</v>
      </c>
      <c r="F131" s="12" t="s">
        <v>55</v>
      </c>
      <c r="G131" s="12" t="s">
        <v>29</v>
      </c>
    </row>
    <row r="132" spans="2:7" x14ac:dyDescent="0.25">
      <c r="C132" t="s">
        <v>69</v>
      </c>
      <c r="D132" s="14">
        <v>1</v>
      </c>
      <c r="E132" s="14">
        <v>0.8</v>
      </c>
      <c r="F132" s="14">
        <v>2.1</v>
      </c>
      <c r="G132" s="14">
        <f t="shared" ref="G132:G143" si="2">TRUNC(D132*E132*F132,2)</f>
        <v>1.68</v>
      </c>
    </row>
    <row r="133" spans="2:7" x14ac:dyDescent="0.25">
      <c r="C133" t="s">
        <v>71</v>
      </c>
      <c r="D133" s="14">
        <v>1</v>
      </c>
      <c r="E133" s="14">
        <v>0.8</v>
      </c>
      <c r="F133" s="14">
        <v>2.1</v>
      </c>
      <c r="G133" s="14">
        <f t="shared" si="2"/>
        <v>1.68</v>
      </c>
    </row>
    <row r="134" spans="2:7" x14ac:dyDescent="0.25">
      <c r="C134" t="s">
        <v>74</v>
      </c>
      <c r="D134" s="14">
        <v>2</v>
      </c>
      <c r="E134" s="14">
        <v>2.5</v>
      </c>
      <c r="F134" s="14">
        <v>1.5</v>
      </c>
      <c r="G134" s="14">
        <f t="shared" si="2"/>
        <v>7.5</v>
      </c>
    </row>
    <row r="135" spans="2:7" x14ac:dyDescent="0.25">
      <c r="C135" t="s">
        <v>64</v>
      </c>
      <c r="D135" s="14">
        <v>1</v>
      </c>
      <c r="E135" s="14">
        <v>0.8</v>
      </c>
      <c r="F135" s="14">
        <v>2.1</v>
      </c>
      <c r="G135" s="14">
        <f t="shared" si="2"/>
        <v>1.68</v>
      </c>
    </row>
    <row r="136" spans="2:7" x14ac:dyDescent="0.25">
      <c r="C136" t="s">
        <v>79</v>
      </c>
      <c r="D136" s="14">
        <v>1</v>
      </c>
      <c r="E136" s="14">
        <v>0.6</v>
      </c>
      <c r="F136" s="14">
        <v>2.1</v>
      </c>
      <c r="G136" s="14">
        <f t="shared" si="2"/>
        <v>1.26</v>
      </c>
    </row>
    <row r="137" spans="2:7" x14ac:dyDescent="0.25">
      <c r="C137" t="s">
        <v>36</v>
      </c>
      <c r="D137" s="14">
        <v>1</v>
      </c>
      <c r="E137" s="14">
        <v>0.8</v>
      </c>
      <c r="F137" s="14">
        <v>2.1</v>
      </c>
      <c r="G137" s="14">
        <f t="shared" si="2"/>
        <v>1.68</v>
      </c>
    </row>
    <row r="138" spans="2:7" x14ac:dyDescent="0.25">
      <c r="C138" t="s">
        <v>80</v>
      </c>
      <c r="D138" s="14">
        <v>1</v>
      </c>
      <c r="E138" s="14">
        <v>0.8</v>
      </c>
      <c r="F138" s="14">
        <v>2.1</v>
      </c>
      <c r="G138" s="14">
        <f t="shared" si="2"/>
        <v>1.68</v>
      </c>
    </row>
    <row r="139" spans="2:7" x14ac:dyDescent="0.25">
      <c r="C139" t="s">
        <v>81</v>
      </c>
      <c r="D139" s="14">
        <v>1</v>
      </c>
      <c r="E139" s="14">
        <v>0.7</v>
      </c>
      <c r="F139" s="14">
        <v>2.1</v>
      </c>
      <c r="G139" s="14">
        <f t="shared" si="2"/>
        <v>1.47</v>
      </c>
    </row>
    <row r="140" spans="2:7" x14ac:dyDescent="0.25">
      <c r="C140" t="s">
        <v>84</v>
      </c>
      <c r="D140" s="14">
        <v>1</v>
      </c>
      <c r="E140" s="14">
        <v>0.7</v>
      </c>
      <c r="F140" s="14">
        <v>2.1</v>
      </c>
      <c r="G140" s="14">
        <f t="shared" si="2"/>
        <v>1.47</v>
      </c>
    </row>
    <row r="141" spans="2:7" x14ac:dyDescent="0.25">
      <c r="C141" t="s">
        <v>46</v>
      </c>
      <c r="D141" s="14">
        <v>1</v>
      </c>
      <c r="E141" s="14">
        <v>0.7</v>
      </c>
      <c r="F141" s="14">
        <v>2.1</v>
      </c>
      <c r="G141" s="14">
        <f t="shared" si="2"/>
        <v>1.47</v>
      </c>
    </row>
    <row r="142" spans="2:7" x14ac:dyDescent="0.25">
      <c r="C142" t="s">
        <v>40</v>
      </c>
      <c r="D142" s="14">
        <v>1</v>
      </c>
      <c r="E142" s="14">
        <v>0.6</v>
      </c>
      <c r="F142" s="14">
        <v>2.1</v>
      </c>
      <c r="G142" s="14">
        <f t="shared" si="2"/>
        <v>1.26</v>
      </c>
    </row>
    <row r="143" spans="2:7" x14ac:dyDescent="0.25">
      <c r="C143" t="s">
        <v>87</v>
      </c>
      <c r="D143" s="14">
        <v>1</v>
      </c>
      <c r="E143" s="14">
        <v>0.6</v>
      </c>
      <c r="F143" s="14">
        <v>2.1</v>
      </c>
      <c r="G143" s="14">
        <f t="shared" si="2"/>
        <v>1.26</v>
      </c>
    </row>
    <row r="144" spans="2:7" x14ac:dyDescent="0.25">
      <c r="D144" s="14"/>
      <c r="E144" s="14"/>
      <c r="F144" s="14"/>
      <c r="G144" s="14">
        <f>SUM(G132:G143)</f>
        <v>24.09</v>
      </c>
    </row>
    <row r="146" spans="2:7" x14ac:dyDescent="0.25">
      <c r="B146" s="12">
        <f>'P. Nova'!B27</f>
        <v>22</v>
      </c>
      <c r="C146" s="12" t="str">
        <f>'P. Nova'!C27</f>
        <v>05.001.0073-0</v>
      </c>
      <c r="D146" s="8" t="str">
        <f>'P. Nova'!D27</f>
        <v>Remoção piso vinílico</v>
      </c>
      <c r="E146" s="12" t="str">
        <f>'P. Nova'!E27</f>
        <v>m²</v>
      </c>
      <c r="F146" s="13">
        <f>G149</f>
        <v>13.68</v>
      </c>
    </row>
    <row r="148" spans="2:7" x14ac:dyDescent="0.25">
      <c r="D148" s="12" t="s">
        <v>68</v>
      </c>
      <c r="E148" t="s">
        <v>61</v>
      </c>
      <c r="F148" s="12" t="s">
        <v>62</v>
      </c>
      <c r="G148" s="12" t="s">
        <v>29</v>
      </c>
    </row>
    <row r="149" spans="2:7" x14ac:dyDescent="0.25">
      <c r="C149" t="s">
        <v>69</v>
      </c>
      <c r="D149" s="21">
        <v>1</v>
      </c>
      <c r="E149" s="14">
        <v>3.62</v>
      </c>
      <c r="F149" s="14">
        <v>3.78</v>
      </c>
      <c r="G149" s="14">
        <f>TRUNC(D149*E149*F149,2)</f>
        <v>13.68</v>
      </c>
    </row>
    <row r="151" spans="2:7" x14ac:dyDescent="0.25">
      <c r="B151" s="12">
        <f>'P. Nova'!B28</f>
        <v>23</v>
      </c>
      <c r="C151" s="12" t="str">
        <f>'P. Nova'!C28</f>
        <v>05.001.0021-0</v>
      </c>
      <c r="D151" s="8" t="str">
        <f>'P. Nova'!D28</f>
        <v>Remoção de azulejo</v>
      </c>
      <c r="E151" s="12" t="str">
        <f>'P. Nova'!E28</f>
        <v>m²</v>
      </c>
      <c r="F151" s="13">
        <f>G154</f>
        <v>21.63</v>
      </c>
    </row>
    <row r="153" spans="2:7" x14ac:dyDescent="0.25">
      <c r="D153" s="12" t="s">
        <v>63</v>
      </c>
      <c r="E153" t="s">
        <v>61</v>
      </c>
      <c r="F153" s="12" t="s">
        <v>55</v>
      </c>
      <c r="G153" s="12" t="s">
        <v>29</v>
      </c>
    </row>
    <row r="154" spans="2:7" x14ac:dyDescent="0.25">
      <c r="C154" t="s">
        <v>64</v>
      </c>
      <c r="D154" s="16">
        <v>1</v>
      </c>
      <c r="E154" s="14">
        <v>6.18</v>
      </c>
      <c r="F154" s="14">
        <v>3.5</v>
      </c>
      <c r="G154" s="14">
        <f>TRUNC(D154*E154*F154,2)</f>
        <v>21.63</v>
      </c>
    </row>
    <row r="155" spans="2:7" x14ac:dyDescent="0.25">
      <c r="D155" s="21"/>
      <c r="E155" s="14"/>
      <c r="F155" s="14"/>
      <c r="G155" s="14"/>
    </row>
    <row r="156" spans="2:7" x14ac:dyDescent="0.25">
      <c r="B156" s="12">
        <f>'P. Nova'!B29</f>
        <v>24</v>
      </c>
      <c r="C156" s="12" t="str">
        <f>'P. Nova'!C29</f>
        <v>05.001.0041-0</v>
      </c>
      <c r="D156" s="8" t="str">
        <f>'P. Nova'!D29</f>
        <v>Remoção cobertura, telha e madeiramento</v>
      </c>
      <c r="E156" s="12" t="str">
        <f>'P. Nova'!E29</f>
        <v>m²</v>
      </c>
      <c r="F156" s="13">
        <f>G163</f>
        <v>181.285</v>
      </c>
    </row>
    <row r="158" spans="2:7" x14ac:dyDescent="0.25">
      <c r="D158" s="12" t="s">
        <v>63</v>
      </c>
      <c r="E158" t="s">
        <v>61</v>
      </c>
      <c r="F158" s="12" t="s">
        <v>62</v>
      </c>
      <c r="G158" s="12" t="s">
        <v>29</v>
      </c>
    </row>
    <row r="159" spans="2:7" x14ac:dyDescent="0.25">
      <c r="C159" t="s">
        <v>89</v>
      </c>
      <c r="D159" s="16">
        <v>1</v>
      </c>
      <c r="E159" s="14"/>
      <c r="F159" s="14"/>
      <c r="G159" s="14">
        <v>112.99</v>
      </c>
    </row>
    <row r="160" spans="2:7" x14ac:dyDescent="0.25">
      <c r="C160" t="s">
        <v>90</v>
      </c>
      <c r="D160" s="16">
        <v>1</v>
      </c>
      <c r="E160" s="14"/>
      <c r="F160" s="14"/>
      <c r="G160" s="14">
        <v>38.44</v>
      </c>
    </row>
    <row r="161" spans="2:7" x14ac:dyDescent="0.25">
      <c r="C161" t="s">
        <v>91</v>
      </c>
      <c r="D161" s="21">
        <v>1</v>
      </c>
      <c r="E161" s="14">
        <v>10.8</v>
      </c>
      <c r="F161" s="14">
        <v>1.67</v>
      </c>
      <c r="G161" s="14">
        <f>TRUNC(D161*E161*F161,2)</f>
        <v>18.03</v>
      </c>
    </row>
    <row r="162" spans="2:7" x14ac:dyDescent="0.25">
      <c r="C162" t="s">
        <v>433</v>
      </c>
      <c r="D162" s="21">
        <v>1</v>
      </c>
      <c r="E162" s="14">
        <v>4.7300000000000004</v>
      </c>
      <c r="F162" s="14">
        <v>2.5</v>
      </c>
      <c r="G162" s="14">
        <f>E162*F162</f>
        <v>11.825000000000001</v>
      </c>
    </row>
    <row r="163" spans="2:7" x14ac:dyDescent="0.25">
      <c r="G163" s="14">
        <f>SUM(G159:G162)</f>
        <v>181.285</v>
      </c>
    </row>
    <row r="165" spans="2:7" x14ac:dyDescent="0.25">
      <c r="B165" s="12">
        <f>'P. Nova'!B30</f>
        <v>25</v>
      </c>
      <c r="C165" s="12" t="str">
        <f>'P. Nova'!C30</f>
        <v>05.001.0023-0</v>
      </c>
      <c r="D165" s="8" t="str">
        <f>'P. Nova'!D30</f>
        <v>Demolição de alvenaria de tijolo</v>
      </c>
      <c r="E165" s="12" t="str">
        <f>'P. Nova'!E30</f>
        <v>m³</v>
      </c>
      <c r="F165" s="13">
        <f>G176</f>
        <v>3.35</v>
      </c>
    </row>
    <row r="167" spans="2:7" x14ac:dyDescent="0.25">
      <c r="D167" s="12" t="s">
        <v>54</v>
      </c>
      <c r="E167" t="s">
        <v>61</v>
      </c>
      <c r="F167" s="12" t="s">
        <v>55</v>
      </c>
      <c r="G167" s="12" t="s">
        <v>29</v>
      </c>
    </row>
    <row r="168" spans="2:7" x14ac:dyDescent="0.25">
      <c r="C168" t="s">
        <v>39</v>
      </c>
      <c r="D168" s="12">
        <v>0.15</v>
      </c>
      <c r="E168" s="14">
        <v>1</v>
      </c>
      <c r="F168" s="14">
        <v>1.5</v>
      </c>
      <c r="G168" s="14">
        <f t="shared" ref="G168:G175" si="3">TRUNC(D168*E168*F168,2)</f>
        <v>0.22</v>
      </c>
    </row>
    <row r="169" spans="2:7" x14ac:dyDescent="0.25">
      <c r="C169" t="s">
        <v>88</v>
      </c>
      <c r="D169" s="12">
        <v>0.15</v>
      </c>
      <c r="E169" s="14">
        <v>0.9</v>
      </c>
      <c r="F169" s="14">
        <v>2.2000000000000002</v>
      </c>
      <c r="G169" s="14">
        <f t="shared" si="3"/>
        <v>0.28999999999999998</v>
      </c>
    </row>
    <row r="170" spans="2:7" x14ac:dyDescent="0.25">
      <c r="C170" t="s">
        <v>88</v>
      </c>
      <c r="D170" s="12">
        <v>0.15</v>
      </c>
      <c r="E170" s="14">
        <v>2.69</v>
      </c>
      <c r="F170" s="14">
        <v>3</v>
      </c>
      <c r="G170" s="14">
        <f t="shared" ref="G170" si="4">TRUNC(D170*E170*F170,2)</f>
        <v>1.21</v>
      </c>
    </row>
    <row r="171" spans="2:7" x14ac:dyDescent="0.25">
      <c r="C171" t="s">
        <v>69</v>
      </c>
      <c r="D171" s="12">
        <v>0.15</v>
      </c>
      <c r="E171" s="14">
        <v>1</v>
      </c>
      <c r="F171" s="14">
        <v>2.2000000000000002</v>
      </c>
      <c r="G171" s="14">
        <f t="shared" si="3"/>
        <v>0.33</v>
      </c>
    </row>
    <row r="172" spans="2:7" x14ac:dyDescent="0.25">
      <c r="C172" t="s">
        <v>65</v>
      </c>
      <c r="D172" s="14">
        <v>0.5</v>
      </c>
      <c r="E172" s="14">
        <v>0.5</v>
      </c>
      <c r="F172" s="14">
        <v>0.5</v>
      </c>
      <c r="G172" s="14">
        <f t="shared" si="3"/>
        <v>0.12</v>
      </c>
    </row>
    <row r="173" spans="2:7" x14ac:dyDescent="0.25">
      <c r="C173" t="s">
        <v>92</v>
      </c>
      <c r="D173" s="14">
        <v>0.5</v>
      </c>
      <c r="E173" s="14">
        <v>2.5</v>
      </c>
      <c r="F173" s="14">
        <v>0.5</v>
      </c>
      <c r="G173" s="14">
        <f t="shared" si="3"/>
        <v>0.62</v>
      </c>
    </row>
    <row r="174" spans="2:7" x14ac:dyDescent="0.25">
      <c r="C174" t="s">
        <v>80</v>
      </c>
      <c r="D174" s="12">
        <v>0.15</v>
      </c>
      <c r="E174" s="14">
        <v>0.8</v>
      </c>
      <c r="F174" s="14">
        <v>3.5</v>
      </c>
      <c r="G174" s="14">
        <f t="shared" si="3"/>
        <v>0.42</v>
      </c>
    </row>
    <row r="175" spans="2:7" x14ac:dyDescent="0.25">
      <c r="C175" t="s">
        <v>84</v>
      </c>
      <c r="D175" s="12">
        <v>0.15</v>
      </c>
      <c r="E175" s="14">
        <v>1.2</v>
      </c>
      <c r="F175" s="14">
        <v>0.8</v>
      </c>
      <c r="G175" s="14">
        <f t="shared" si="3"/>
        <v>0.14000000000000001</v>
      </c>
    </row>
    <row r="176" spans="2:7" x14ac:dyDescent="0.25">
      <c r="G176" s="14">
        <f>SUM(G168:G175)</f>
        <v>3.35</v>
      </c>
    </row>
    <row r="178" spans="2:7" x14ac:dyDescent="0.25">
      <c r="B178" s="12">
        <f>'P. Nova'!B31</f>
        <v>26</v>
      </c>
      <c r="C178" s="12" t="str">
        <f>'P. Nova'!C31</f>
        <v>98528 (SINAPI)</v>
      </c>
      <c r="D178" s="8" t="str">
        <f>'P. Nova'!D31</f>
        <v>Destocamento de raiz</v>
      </c>
      <c r="E178" s="12" t="str">
        <f>'P. Nova'!E31</f>
        <v>unid</v>
      </c>
      <c r="F178" s="13">
        <f>G181</f>
        <v>1</v>
      </c>
    </row>
    <row r="180" spans="2:7" x14ac:dyDescent="0.25">
      <c r="D180" s="12"/>
      <c r="F180" s="12"/>
      <c r="G180" s="12" t="s">
        <v>29</v>
      </c>
    </row>
    <row r="181" spans="2:7" x14ac:dyDescent="0.25">
      <c r="C181" t="s">
        <v>92</v>
      </c>
      <c r="G181" s="14">
        <v>1</v>
      </c>
    </row>
    <row r="182" spans="2:7" x14ac:dyDescent="0.25">
      <c r="G182" s="14"/>
    </row>
    <row r="183" spans="2:7" x14ac:dyDescent="0.25">
      <c r="B183" s="12">
        <f>'P. Nova'!B32</f>
        <v>27</v>
      </c>
      <c r="C183" s="12" t="str">
        <f>'P. Nova'!C32</f>
        <v>97643 (SINAPI)</v>
      </c>
      <c r="D183" s="8" t="str">
        <f>'P. Nova'!D32</f>
        <v>Remoção de piso de madeira</v>
      </c>
      <c r="E183" s="12" t="str">
        <f>'P. Nova'!E32</f>
        <v>m²</v>
      </c>
      <c r="F183" s="13">
        <f>G186</f>
        <v>10.87</v>
      </c>
    </row>
    <row r="185" spans="2:7" x14ac:dyDescent="0.25">
      <c r="D185" s="12"/>
      <c r="E185" t="s">
        <v>61</v>
      </c>
      <c r="F185" s="12" t="s">
        <v>62</v>
      </c>
      <c r="G185" s="12" t="s">
        <v>29</v>
      </c>
    </row>
    <row r="186" spans="2:7" x14ac:dyDescent="0.25">
      <c r="C186" t="s">
        <v>549</v>
      </c>
      <c r="E186" s="12">
        <v>4.7300000000000004</v>
      </c>
      <c r="F186" s="12">
        <v>2.2999999999999998</v>
      </c>
      <c r="G186" s="14">
        <f>TRUNC(E186*F186,2)</f>
        <v>10.87</v>
      </c>
    </row>
    <row r="187" spans="2:7" x14ac:dyDescent="0.25">
      <c r="G187" s="14"/>
    </row>
    <row r="188" spans="2:7" x14ac:dyDescent="0.25">
      <c r="B188" s="12">
        <f>'P. Nova'!B33</f>
        <v>28</v>
      </c>
      <c r="C188" s="12" t="str">
        <f>'P. Nova'!C33</f>
        <v>05.001.0145-0</v>
      </c>
      <c r="D188" s="8" t="str">
        <f>'P. Nova'!D33</f>
        <v>Arrancamento de aparelho sanitário</v>
      </c>
      <c r="E188" s="12" t="str">
        <f>'P. Nova'!E33</f>
        <v>unid</v>
      </c>
      <c r="F188" s="13">
        <f>G194</f>
        <v>6</v>
      </c>
    </row>
    <row r="190" spans="2:7" x14ac:dyDescent="0.25">
      <c r="D190" s="12"/>
      <c r="F190" s="12"/>
      <c r="G190" s="12" t="s">
        <v>29</v>
      </c>
    </row>
    <row r="191" spans="2:7" x14ac:dyDescent="0.25">
      <c r="C191" t="s">
        <v>299</v>
      </c>
      <c r="G191" s="14">
        <v>1</v>
      </c>
    </row>
    <row r="192" spans="2:7" x14ac:dyDescent="0.25">
      <c r="C192" t="s">
        <v>300</v>
      </c>
      <c r="G192" s="14">
        <v>4</v>
      </c>
    </row>
    <row r="193" spans="2:7" x14ac:dyDescent="0.25">
      <c r="C193" t="s">
        <v>301</v>
      </c>
      <c r="G193" s="14">
        <v>1</v>
      </c>
    </row>
    <row r="194" spans="2:7" x14ac:dyDescent="0.25">
      <c r="G194" s="14">
        <f>SUM(G191:G193)</f>
        <v>6</v>
      </c>
    </row>
    <row r="195" spans="2:7" x14ac:dyDescent="0.25">
      <c r="G195" s="14"/>
    </row>
    <row r="196" spans="2:7" x14ac:dyDescent="0.25">
      <c r="B196" s="12">
        <f>'P. Nova'!B34</f>
        <v>29</v>
      </c>
      <c r="C196" s="12" t="str">
        <f>'P. Nova'!C34</f>
        <v>05.001.0146-0</v>
      </c>
      <c r="D196" s="8" t="str">
        <f>'P. Nova'!D34</f>
        <v xml:space="preserve">Arrancamento de pia </v>
      </c>
      <c r="E196" s="12" t="str">
        <f>'P. Nova'!E34</f>
        <v>m</v>
      </c>
      <c r="F196" s="13">
        <f>G203</f>
        <v>12.5</v>
      </c>
    </row>
    <row r="198" spans="2:7" x14ac:dyDescent="0.25">
      <c r="D198" s="12"/>
      <c r="F198" s="12"/>
      <c r="G198" s="12" t="s">
        <v>29</v>
      </c>
    </row>
    <row r="199" spans="2:7" x14ac:dyDescent="0.25">
      <c r="C199" t="s">
        <v>299</v>
      </c>
      <c r="G199" s="14">
        <f>1.7</f>
        <v>1.7</v>
      </c>
    </row>
    <row r="200" spans="2:7" x14ac:dyDescent="0.25">
      <c r="C200" t="s">
        <v>300</v>
      </c>
      <c r="G200" s="14">
        <v>4</v>
      </c>
    </row>
    <row r="201" spans="2:7" x14ac:dyDescent="0.25">
      <c r="C201" t="s">
        <v>302</v>
      </c>
      <c r="G201" s="14">
        <f>2.5+3.5</f>
        <v>6</v>
      </c>
    </row>
    <row r="202" spans="2:7" x14ac:dyDescent="0.25">
      <c r="C202" t="s">
        <v>301</v>
      </c>
      <c r="G202" s="14">
        <v>0.8</v>
      </c>
    </row>
    <row r="203" spans="2:7" x14ac:dyDescent="0.25">
      <c r="G203" s="14">
        <f>SUM(G199:G202)</f>
        <v>12.5</v>
      </c>
    </row>
    <row r="204" spans="2:7" x14ac:dyDescent="0.25">
      <c r="G204" s="14"/>
    </row>
    <row r="205" spans="2:7" x14ac:dyDescent="0.25">
      <c r="B205" s="12">
        <f>'P. Nova'!B35</f>
        <v>30</v>
      </c>
      <c r="C205" s="12" t="str">
        <f>'P. Nova'!C35</f>
        <v>05.001.0147-0</v>
      </c>
      <c r="D205" s="8" t="str">
        <f>'P. Nova'!D35</f>
        <v>ARRANCAMENTO DE GRADES,GRADIS,ALAMBRADOS,CERCAS E PORTOES</v>
      </c>
      <c r="E205" s="12" t="str">
        <f>'P. Nova'!E35</f>
        <v>m²</v>
      </c>
      <c r="F205" s="13">
        <f>G212</f>
        <v>615.76499999999999</v>
      </c>
    </row>
    <row r="207" spans="2:7" x14ac:dyDescent="0.25">
      <c r="D207" s="12"/>
      <c r="E207" t="s">
        <v>61</v>
      </c>
      <c r="F207" s="12" t="s">
        <v>62</v>
      </c>
      <c r="G207" s="12" t="s">
        <v>29</v>
      </c>
    </row>
    <row r="208" spans="2:7" x14ac:dyDescent="0.25">
      <c r="C208" t="s">
        <v>392</v>
      </c>
      <c r="E208">
        <f>(29.5*2)+(11.93*2)</f>
        <v>82.86</v>
      </c>
      <c r="F208">
        <v>3</v>
      </c>
      <c r="G208" s="14">
        <f>E208*F208</f>
        <v>248.57999999999998</v>
      </c>
    </row>
    <row r="209" spans="2:7" x14ac:dyDescent="0.25">
      <c r="C209" t="s">
        <v>395</v>
      </c>
      <c r="E209">
        <v>29.5</v>
      </c>
      <c r="F209">
        <v>11.93</v>
      </c>
      <c r="G209" s="14">
        <f t="shared" ref="G209:G211" si="5">E209*F209</f>
        <v>351.935</v>
      </c>
    </row>
    <row r="210" spans="2:7" x14ac:dyDescent="0.25">
      <c r="C210" t="s">
        <v>393</v>
      </c>
      <c r="E210">
        <v>2</v>
      </c>
      <c r="F210">
        <v>1.5</v>
      </c>
      <c r="G210" s="14">
        <f t="shared" si="5"/>
        <v>3</v>
      </c>
    </row>
    <row r="211" spans="2:7" x14ac:dyDescent="0.25">
      <c r="C211" t="s">
        <v>394</v>
      </c>
      <c r="E211">
        <f>2+1.5</f>
        <v>3.5</v>
      </c>
      <c r="F211">
        <v>3.5</v>
      </c>
      <c r="G211" s="14">
        <f t="shared" si="5"/>
        <v>12.25</v>
      </c>
    </row>
    <row r="212" spans="2:7" x14ac:dyDescent="0.25">
      <c r="G212" s="14">
        <f>SUM(G208:G211)</f>
        <v>615.76499999999999</v>
      </c>
    </row>
    <row r="213" spans="2:7" x14ac:dyDescent="0.25">
      <c r="G213" s="14"/>
    </row>
    <row r="214" spans="2:7" x14ac:dyDescent="0.25">
      <c r="B214" s="12">
        <f>'P. Nova'!B36</f>
        <v>31</v>
      </c>
      <c r="C214" s="12" t="str">
        <f>'P. Nova'!C36</f>
        <v>05.002.0065-0</v>
      </c>
      <c r="D214" s="12" t="str">
        <f>'P. Nova'!D36</f>
        <v>DEMOLICAO E REMOCAO DE ESTRUTURAS METALICAS</v>
      </c>
      <c r="E214" s="12" t="str">
        <f>'P. Nova'!E36</f>
        <v>Kg</v>
      </c>
      <c r="F214" s="13">
        <f>G220</f>
        <v>775</v>
      </c>
    </row>
    <row r="216" spans="2:7" x14ac:dyDescent="0.25">
      <c r="D216" s="12"/>
      <c r="E216" t="s">
        <v>400</v>
      </c>
      <c r="F216" s="12" t="s">
        <v>339</v>
      </c>
      <c r="G216" s="12" t="s">
        <v>29</v>
      </c>
    </row>
    <row r="217" spans="2:7" x14ac:dyDescent="0.25">
      <c r="C217" t="s">
        <v>398</v>
      </c>
      <c r="E217">
        <v>75</v>
      </c>
      <c r="F217">
        <v>2</v>
      </c>
      <c r="G217" s="14">
        <f>E217*F217</f>
        <v>150</v>
      </c>
    </row>
    <row r="218" spans="2:7" x14ac:dyDescent="0.25">
      <c r="C218" t="s">
        <v>399</v>
      </c>
      <c r="E218">
        <v>150</v>
      </c>
      <c r="F218">
        <v>2</v>
      </c>
      <c r="G218" s="14">
        <f t="shared" ref="G218:G219" si="6">E218*F218</f>
        <v>300</v>
      </c>
    </row>
    <row r="219" spans="2:7" x14ac:dyDescent="0.25">
      <c r="C219" t="s">
        <v>550</v>
      </c>
      <c r="E219">
        <v>325</v>
      </c>
      <c r="F219">
        <v>1</v>
      </c>
      <c r="G219" s="14">
        <f t="shared" si="6"/>
        <v>325</v>
      </c>
    </row>
    <row r="220" spans="2:7" x14ac:dyDescent="0.25">
      <c r="G220" s="14">
        <f>SUM(G217:G219)</f>
        <v>775</v>
      </c>
    </row>
    <row r="221" spans="2:7" x14ac:dyDescent="0.25">
      <c r="G221" s="14"/>
    </row>
    <row r="222" spans="2:7" x14ac:dyDescent="0.25">
      <c r="B222" s="12">
        <f>'P. Nova'!B37</f>
        <v>32</v>
      </c>
      <c r="C222" s="12" t="str">
        <f>'P. Nova'!C37</f>
        <v>SC 05.05.1750 (/)</v>
      </c>
      <c r="D222" s="8" t="str">
        <f>'P. Nova'!D37</f>
        <v>Remocao de armarios, balcoes construidos com compensado de madeira</v>
      </c>
      <c r="E222" s="12" t="str">
        <f>'P. Nova'!E37</f>
        <v>m²</v>
      </c>
      <c r="F222" s="13">
        <f>G225</f>
        <v>6</v>
      </c>
    </row>
    <row r="224" spans="2:7" x14ac:dyDescent="0.25">
      <c r="D224" s="12"/>
      <c r="E224" t="s">
        <v>61</v>
      </c>
      <c r="F224" s="12" t="s">
        <v>62</v>
      </c>
      <c r="G224" s="12" t="s">
        <v>29</v>
      </c>
    </row>
    <row r="225" spans="2:8" x14ac:dyDescent="0.25">
      <c r="C225" t="s">
        <v>80</v>
      </c>
      <c r="E225">
        <v>3</v>
      </c>
      <c r="F225">
        <v>2</v>
      </c>
      <c r="G225" s="14">
        <f>E225*F225</f>
        <v>6</v>
      </c>
    </row>
    <row r="226" spans="2:8" x14ac:dyDescent="0.25">
      <c r="G226" s="14"/>
    </row>
    <row r="227" spans="2:8" x14ac:dyDescent="0.25">
      <c r="B227" s="12">
        <f>'P. Nova'!B38</f>
        <v>33</v>
      </c>
      <c r="C227" s="12" t="str">
        <f>'P. Nova'!C38</f>
        <v>03.001.0001-1</v>
      </c>
      <c r="D227" s="12" t="str">
        <f>'P. Nova'!D38</f>
        <v>Escavação manual de vala</v>
      </c>
      <c r="E227" s="12" t="str">
        <f>'P. Nova'!E38</f>
        <v>m³</v>
      </c>
      <c r="F227" s="13">
        <f>G232</f>
        <v>47.06</v>
      </c>
    </row>
    <row r="229" spans="2:8" x14ac:dyDescent="0.25">
      <c r="D229" s="12" t="s">
        <v>540</v>
      </c>
      <c r="E229" t="s">
        <v>61</v>
      </c>
      <c r="F229" s="12" t="s">
        <v>62</v>
      </c>
      <c r="G229" s="12" t="s">
        <v>29</v>
      </c>
      <c r="H229" s="12" t="s">
        <v>339</v>
      </c>
    </row>
    <row r="230" spans="2:8" x14ac:dyDescent="0.25">
      <c r="C230" s="26" t="s">
        <v>435</v>
      </c>
      <c r="D230" s="28">
        <v>2</v>
      </c>
      <c r="E230" s="26">
        <v>1</v>
      </c>
      <c r="F230" s="26">
        <v>1</v>
      </c>
      <c r="G230" s="27">
        <f>E230*F230*H230*D230</f>
        <v>44</v>
      </c>
      <c r="H230" s="28">
        <v>22</v>
      </c>
    </row>
    <row r="231" spans="2:8" x14ac:dyDescent="0.25">
      <c r="C231" s="26" t="s">
        <v>596</v>
      </c>
      <c r="D231" s="28">
        <v>0.3</v>
      </c>
      <c r="E231" s="26">
        <v>68</v>
      </c>
      <c r="F231" s="26">
        <v>0.15</v>
      </c>
      <c r="G231" s="27">
        <f>E231*F231*H231*D231</f>
        <v>3.0599999999999996</v>
      </c>
      <c r="H231" s="28">
        <v>1</v>
      </c>
    </row>
    <row r="232" spans="2:8" x14ac:dyDescent="0.25">
      <c r="C232" s="26"/>
      <c r="D232" s="28"/>
      <c r="E232" s="26"/>
      <c r="F232" s="26"/>
      <c r="G232" s="27">
        <f>SUM(G230:G231)</f>
        <v>47.06</v>
      </c>
      <c r="H232" s="28"/>
    </row>
    <row r="233" spans="2:8" x14ac:dyDescent="0.25">
      <c r="G233" s="14"/>
    </row>
    <row r="234" spans="2:8" ht="15.75" x14ac:dyDescent="0.25">
      <c r="B234" s="65" t="s">
        <v>96</v>
      </c>
      <c r="C234" s="65"/>
      <c r="D234" s="65"/>
      <c r="E234" s="65"/>
      <c r="F234" s="65"/>
      <c r="G234" s="65"/>
    </row>
    <row r="235" spans="2:8" x14ac:dyDescent="0.25">
      <c r="B235" s="12">
        <f>'P. Nova'!B41</f>
        <v>34</v>
      </c>
      <c r="C235" s="12" t="str">
        <f>'P. Nova'!C41</f>
        <v>04.014.0095-0</v>
      </c>
      <c r="D235" s="8" t="str">
        <f>'P. Nova'!D41</f>
        <v>Caçamba 5m³, com royalties</v>
      </c>
      <c r="E235" s="12" t="str">
        <f>'P. Nova'!E41</f>
        <v>unid</v>
      </c>
      <c r="F235" s="13">
        <f>G257</f>
        <v>28</v>
      </c>
    </row>
    <row r="237" spans="2:8" x14ac:dyDescent="0.25">
      <c r="D237" s="12" t="s">
        <v>104</v>
      </c>
      <c r="E237" s="12" t="s">
        <v>43</v>
      </c>
      <c r="F237" s="12" t="s">
        <v>100</v>
      </c>
      <c r="G237" s="12" t="s">
        <v>44</v>
      </c>
    </row>
    <row r="238" spans="2:8" x14ac:dyDescent="0.25">
      <c r="C238" t="s">
        <v>376</v>
      </c>
      <c r="D238" s="14">
        <v>1.3</v>
      </c>
      <c r="E238" s="12"/>
      <c r="F238" s="12"/>
      <c r="G238" s="14">
        <f>TRUNC(F98*D238,2)</f>
        <v>8.19</v>
      </c>
    </row>
    <row r="239" spans="2:8" x14ac:dyDescent="0.25">
      <c r="C239" t="s">
        <v>377</v>
      </c>
      <c r="D239" s="14">
        <v>1.3</v>
      </c>
      <c r="E239" s="14">
        <f>F106</f>
        <v>133.15</v>
      </c>
      <c r="F239" s="14">
        <v>0.1</v>
      </c>
      <c r="G239" s="12">
        <f>TRUNC(E239*F239*D239,2)</f>
        <v>17.3</v>
      </c>
    </row>
    <row r="240" spans="2:8" x14ac:dyDescent="0.25">
      <c r="C240" t="s">
        <v>378</v>
      </c>
      <c r="D240" s="14"/>
      <c r="E240" s="14">
        <f>F117</f>
        <v>23.610000000000003</v>
      </c>
      <c r="F240" s="14">
        <v>7.0000000000000007E-2</v>
      </c>
      <c r="G240" s="12">
        <f>TRUNC(E240*F240,2)</f>
        <v>1.65</v>
      </c>
    </row>
    <row r="241" spans="3:8" x14ac:dyDescent="0.25">
      <c r="C241" t="s">
        <v>379</v>
      </c>
      <c r="D241" s="14"/>
      <c r="E241" s="14">
        <f>F129</f>
        <v>24.09</v>
      </c>
      <c r="F241" s="14">
        <v>0.35</v>
      </c>
      <c r="G241" s="12">
        <f>TRUNC(E241*F241,2)</f>
        <v>8.43</v>
      </c>
    </row>
    <row r="242" spans="3:8" x14ac:dyDescent="0.25">
      <c r="C242" t="s">
        <v>380</v>
      </c>
      <c r="D242" s="14"/>
      <c r="E242" s="14">
        <f>F146</f>
        <v>13.68</v>
      </c>
      <c r="F242" s="14">
        <v>0.02</v>
      </c>
      <c r="G242" s="12">
        <f>TRUNC(E242*F242,2)</f>
        <v>0.27</v>
      </c>
    </row>
    <row r="243" spans="3:8" x14ac:dyDescent="0.25">
      <c r="C243" t="s">
        <v>160</v>
      </c>
      <c r="D243" s="14">
        <v>1.3</v>
      </c>
      <c r="E243" s="14">
        <f>F151</f>
        <v>21.63</v>
      </c>
      <c r="F243" s="14">
        <v>0.05</v>
      </c>
      <c r="G243" s="14">
        <f>TRUNC(E243*F243*D243,2)</f>
        <v>1.4</v>
      </c>
    </row>
    <row r="244" spans="3:8" x14ac:dyDescent="0.25">
      <c r="C244" t="s">
        <v>163</v>
      </c>
      <c r="D244" s="14">
        <v>1.3</v>
      </c>
      <c r="E244" s="14">
        <f>F156</f>
        <v>181.285</v>
      </c>
      <c r="F244" s="14">
        <v>0.05</v>
      </c>
      <c r="G244" s="14">
        <f>TRUNC(E244*F244*D244,2)</f>
        <v>11.78</v>
      </c>
    </row>
    <row r="245" spans="3:8" x14ac:dyDescent="0.25">
      <c r="C245" t="s">
        <v>381</v>
      </c>
      <c r="D245" s="14">
        <v>1.3</v>
      </c>
      <c r="G245" s="14">
        <f>TRUNC(F165*D245,2)</f>
        <v>4.3499999999999996</v>
      </c>
    </row>
    <row r="246" spans="3:8" x14ac:dyDescent="0.25">
      <c r="C246" t="s">
        <v>382</v>
      </c>
      <c r="D246" s="14"/>
      <c r="G246" s="14">
        <v>3</v>
      </c>
    </row>
    <row r="247" spans="3:8" x14ac:dyDescent="0.25">
      <c r="C247" t="s">
        <v>425</v>
      </c>
      <c r="D247" s="14"/>
      <c r="E247" s="14">
        <f>F183</f>
        <v>10.87</v>
      </c>
      <c r="F247" s="14">
        <v>0.05</v>
      </c>
      <c r="G247" s="14">
        <f>TRUNC(E247*F247,2)</f>
        <v>0.54</v>
      </c>
      <c r="H247" s="12" t="s">
        <v>339</v>
      </c>
    </row>
    <row r="248" spans="3:8" x14ac:dyDescent="0.25">
      <c r="C248" t="s">
        <v>426</v>
      </c>
      <c r="D248" s="14">
        <v>1.3</v>
      </c>
      <c r="E248" s="14">
        <f>F188</f>
        <v>6</v>
      </c>
      <c r="F248" s="14">
        <v>0.45</v>
      </c>
      <c r="G248" s="14">
        <f>TRUNC(E248*F248*D248*H248,2)</f>
        <v>21.06</v>
      </c>
      <c r="H248" s="14">
        <f>F188</f>
        <v>6</v>
      </c>
    </row>
    <row r="249" spans="3:8" x14ac:dyDescent="0.25">
      <c r="C249" t="s">
        <v>427</v>
      </c>
      <c r="D249" s="14">
        <v>1.3</v>
      </c>
      <c r="E249" s="14">
        <f>F196*0.6</f>
        <v>7.5</v>
      </c>
      <c r="F249" s="14">
        <v>0.15</v>
      </c>
      <c r="G249" s="14">
        <f>TRUNC(E249*F249*D249,2)</f>
        <v>1.46</v>
      </c>
    </row>
    <row r="250" spans="3:8" x14ac:dyDescent="0.25">
      <c r="C250" t="s">
        <v>428</v>
      </c>
      <c r="D250" s="14">
        <v>1.3</v>
      </c>
      <c r="E250" s="14">
        <f>F205</f>
        <v>615.76499999999999</v>
      </c>
      <c r="F250" s="14">
        <v>0.05</v>
      </c>
      <c r="G250" s="14">
        <f>TRUNC(D250*E250*F250,2)</f>
        <v>40.020000000000003</v>
      </c>
    </row>
    <row r="251" spans="3:8" x14ac:dyDescent="0.25">
      <c r="C251" t="s">
        <v>429</v>
      </c>
      <c r="D251" s="14">
        <v>1.3</v>
      </c>
      <c r="E251" s="67">
        <f>F214/7800</f>
        <v>9.9358974358974353E-2</v>
      </c>
      <c r="F251" s="67"/>
      <c r="G251" s="14">
        <f>TRUNC(D251*E251,2)</f>
        <v>0.12</v>
      </c>
      <c r="H251" t="s">
        <v>430</v>
      </c>
    </row>
    <row r="252" spans="3:8" x14ac:dyDescent="0.25">
      <c r="C252" t="s">
        <v>541</v>
      </c>
      <c r="D252" s="14">
        <v>1.3</v>
      </c>
      <c r="E252" s="14">
        <f>F222</f>
        <v>6</v>
      </c>
      <c r="F252" s="14">
        <v>0.4</v>
      </c>
      <c r="G252" s="14">
        <f>TRUNC(D252*E252*F252,2)</f>
        <v>3.12</v>
      </c>
    </row>
    <row r="253" spans="3:8" x14ac:dyDescent="0.25">
      <c r="C253" s="26" t="s">
        <v>551</v>
      </c>
      <c r="D253" s="27">
        <v>1.3</v>
      </c>
      <c r="E253" s="27"/>
      <c r="F253" s="27"/>
      <c r="G253" s="27">
        <f>(F227-F430)*D253</f>
        <v>14.414400000000002</v>
      </c>
    </row>
    <row r="254" spans="3:8" x14ac:dyDescent="0.25">
      <c r="G254" s="14">
        <f>SUM(G238:G253)</f>
        <v>137.1044</v>
      </c>
    </row>
    <row r="255" spans="3:8" x14ac:dyDescent="0.25">
      <c r="G255" s="14"/>
    </row>
    <row r="256" spans="3:8" x14ac:dyDescent="0.25">
      <c r="E256" s="12" t="s">
        <v>29</v>
      </c>
      <c r="F256" s="12" t="s">
        <v>102</v>
      </c>
      <c r="G256" s="12" t="s">
        <v>103</v>
      </c>
    </row>
    <row r="257" spans="2:7" x14ac:dyDescent="0.25">
      <c r="C257" t="s">
        <v>29</v>
      </c>
      <c r="E257" s="14">
        <f>G254</f>
        <v>137.1044</v>
      </c>
      <c r="F257" s="14">
        <v>5</v>
      </c>
      <c r="G257" s="14">
        <f>ROUNDUP(E257/F257,0)</f>
        <v>28</v>
      </c>
    </row>
    <row r="259" spans="2:7" x14ac:dyDescent="0.25">
      <c r="B259" s="12">
        <f>'P. Nova'!B42</f>
        <v>35</v>
      </c>
      <c r="C259" s="12" t="str">
        <f>'P. Nova'!C42</f>
        <v>05.001.0171-0</v>
      </c>
      <c r="D259" s="12" t="str">
        <f>'P. Nova'!D42</f>
        <v>Transporte horizontal</v>
      </c>
      <c r="E259" s="12" t="str">
        <f>'P. Nova'!E42</f>
        <v>m³</v>
      </c>
      <c r="F259" s="13">
        <f>G262</f>
        <v>137.1044</v>
      </c>
    </row>
    <row r="261" spans="2:7" x14ac:dyDescent="0.25">
      <c r="D261" s="12"/>
      <c r="E261" s="12"/>
      <c r="F261" s="12"/>
      <c r="G261" s="12" t="s">
        <v>44</v>
      </c>
    </row>
    <row r="262" spans="2:7" x14ac:dyDescent="0.25">
      <c r="C262" t="s">
        <v>542</v>
      </c>
      <c r="G262" s="14">
        <f>G254</f>
        <v>137.1044</v>
      </c>
    </row>
    <row r="264" spans="2:7" ht="15.75" x14ac:dyDescent="0.25">
      <c r="B264" s="65" t="s">
        <v>112</v>
      </c>
      <c r="C264" s="65"/>
      <c r="D264" s="65"/>
      <c r="E264" s="65"/>
      <c r="F264" s="65"/>
      <c r="G264" s="65"/>
    </row>
    <row r="265" spans="2:7" x14ac:dyDescent="0.25">
      <c r="B265" s="12">
        <f>'P. Nova'!B45</f>
        <v>36</v>
      </c>
      <c r="C265" s="12" t="str">
        <f>'P. Nova'!C45</f>
        <v>12.016.0018-0</v>
      </c>
      <c r="D265" s="12" t="str">
        <f>'P. Nova'!D45</f>
        <v>Drywall com lã de rocha</v>
      </c>
      <c r="E265" s="12" t="str">
        <f>'P. Nova'!E45</f>
        <v>m²</v>
      </c>
      <c r="F265" s="13">
        <f>G271</f>
        <v>67.739999999999995</v>
      </c>
    </row>
    <row r="267" spans="2:7" x14ac:dyDescent="0.25">
      <c r="E267" t="s">
        <v>113</v>
      </c>
      <c r="F267" t="s">
        <v>55</v>
      </c>
      <c r="G267" t="s">
        <v>29</v>
      </c>
    </row>
    <row r="268" spans="2:7" x14ac:dyDescent="0.25">
      <c r="C268" t="s">
        <v>552</v>
      </c>
      <c r="E268" s="14">
        <v>9</v>
      </c>
      <c r="F268" s="14">
        <v>3.5</v>
      </c>
      <c r="G268" s="14">
        <f>TRUNC(E268*F268,2)</f>
        <v>31.5</v>
      </c>
    </row>
    <row r="269" spans="2:7" x14ac:dyDescent="0.25">
      <c r="C269" t="s">
        <v>114</v>
      </c>
      <c r="E269" s="14">
        <v>2.89</v>
      </c>
      <c r="F269" s="14">
        <v>3.5</v>
      </c>
      <c r="G269" s="14">
        <f>TRUNC(E269*F269,2)</f>
        <v>10.11</v>
      </c>
    </row>
    <row r="270" spans="2:7" x14ac:dyDescent="0.25">
      <c r="C270" t="s">
        <v>115</v>
      </c>
      <c r="E270" s="14">
        <v>8.7100000000000009</v>
      </c>
      <c r="F270" s="14">
        <v>3</v>
      </c>
      <c r="G270" s="14">
        <f>TRUNC(E270*F270,2)</f>
        <v>26.13</v>
      </c>
    </row>
    <row r="271" spans="2:7" x14ac:dyDescent="0.25">
      <c r="E271" s="14"/>
      <c r="F271" s="14"/>
      <c r="G271" s="14">
        <f>SUM(G268:G270)</f>
        <v>67.739999999999995</v>
      </c>
    </row>
    <row r="273" spans="2:7" x14ac:dyDescent="0.25">
      <c r="B273" s="12">
        <f>'P. Nova'!B46</f>
        <v>37</v>
      </c>
      <c r="C273" s="12" t="str">
        <f>'P. Nova'!C46</f>
        <v>12.003.0190-0</v>
      </c>
      <c r="D273" s="12" t="str">
        <f>'P. Nova'!D46</f>
        <v>Alvenaria de tijolo cerâmico</v>
      </c>
      <c r="E273" s="12" t="str">
        <f>'P. Nova'!E46</f>
        <v>m²</v>
      </c>
      <c r="F273" s="13">
        <f>G286</f>
        <v>43.08</v>
      </c>
    </row>
    <row r="275" spans="2:7" x14ac:dyDescent="0.25">
      <c r="D275" s="12" t="s">
        <v>68</v>
      </c>
      <c r="E275" t="s">
        <v>113</v>
      </c>
      <c r="F275" t="s">
        <v>55</v>
      </c>
      <c r="G275" t="s">
        <v>29</v>
      </c>
    </row>
    <row r="276" spans="2:7" x14ac:dyDescent="0.25">
      <c r="C276" t="s">
        <v>552</v>
      </c>
      <c r="D276" s="14">
        <v>1</v>
      </c>
      <c r="E276" s="14">
        <v>2.5</v>
      </c>
      <c r="F276" s="14">
        <v>2.2999999999999998</v>
      </c>
      <c r="G276" s="14">
        <f t="shared" ref="G276:G277" si="7">TRUNC(E276*F276*D276,2)</f>
        <v>5.75</v>
      </c>
    </row>
    <row r="277" spans="2:7" x14ac:dyDescent="0.25">
      <c r="C277" t="s">
        <v>71</v>
      </c>
      <c r="D277" s="14">
        <v>1</v>
      </c>
      <c r="E277" s="14">
        <v>1</v>
      </c>
      <c r="F277" s="14">
        <v>2.2999999999999998</v>
      </c>
      <c r="G277" s="14">
        <f t="shared" si="7"/>
        <v>2.2999999999999998</v>
      </c>
    </row>
    <row r="278" spans="2:7" x14ac:dyDescent="0.25">
      <c r="C278" t="s">
        <v>118</v>
      </c>
      <c r="D278" s="14">
        <v>2</v>
      </c>
      <c r="E278" s="14">
        <v>2.6</v>
      </c>
      <c r="F278" s="14">
        <v>1.6</v>
      </c>
      <c r="G278" s="14">
        <f>TRUNC(E278*F278*D278,2)</f>
        <v>8.32</v>
      </c>
    </row>
    <row r="279" spans="2:7" x14ac:dyDescent="0.25">
      <c r="C279" t="s">
        <v>36</v>
      </c>
      <c r="D279" s="14">
        <v>1</v>
      </c>
      <c r="E279" s="14">
        <v>0.9</v>
      </c>
      <c r="F279" s="14">
        <v>2.2000000000000002</v>
      </c>
      <c r="G279" s="14">
        <f>TRUNC(E279*F279*D279,2)</f>
        <v>1.98</v>
      </c>
    </row>
    <row r="280" spans="2:7" x14ac:dyDescent="0.25">
      <c r="C280" t="s">
        <v>119</v>
      </c>
      <c r="D280" s="14">
        <v>1</v>
      </c>
      <c r="E280" s="14">
        <v>3.5</v>
      </c>
      <c r="F280" s="14">
        <v>5.7</v>
      </c>
      <c r="G280" s="14">
        <f>TRUNC(E280*F280*D280,2)-1.47</f>
        <v>18.48</v>
      </c>
    </row>
    <row r="281" spans="2:7" x14ac:dyDescent="0.25">
      <c r="C281" t="s">
        <v>80</v>
      </c>
      <c r="D281" s="14">
        <v>1</v>
      </c>
      <c r="E281" s="14">
        <v>0.6</v>
      </c>
      <c r="F281" s="14">
        <v>1</v>
      </c>
      <c r="G281" s="14">
        <f>TRUNC(E281*F281*D281,2)</f>
        <v>0.6</v>
      </c>
    </row>
    <row r="282" spans="2:7" x14ac:dyDescent="0.25">
      <c r="C282" t="s">
        <v>46</v>
      </c>
      <c r="D282" s="14">
        <v>1</v>
      </c>
      <c r="E282" s="14">
        <v>1.5</v>
      </c>
      <c r="F282" s="14">
        <v>1.5</v>
      </c>
      <c r="G282" s="14">
        <f>TRUNC(E282*F282*D282,2)</f>
        <v>2.25</v>
      </c>
    </row>
    <row r="283" spans="2:7" x14ac:dyDescent="0.25">
      <c r="C283" t="s">
        <v>120</v>
      </c>
      <c r="D283" s="14">
        <v>1</v>
      </c>
      <c r="E283" s="14">
        <v>1</v>
      </c>
      <c r="F283" s="14">
        <v>0.9</v>
      </c>
      <c r="G283" s="14">
        <f>TRUNC(E283*F283*D283,2)</f>
        <v>0.9</v>
      </c>
    </row>
    <row r="284" spans="2:7" x14ac:dyDescent="0.25">
      <c r="C284" t="s">
        <v>88</v>
      </c>
      <c r="D284" s="14">
        <v>2</v>
      </c>
      <c r="E284" s="14">
        <v>0.5</v>
      </c>
      <c r="F284" s="14">
        <v>1.5</v>
      </c>
      <c r="G284" s="14">
        <f>TRUNC(E284*F284*D284,2)</f>
        <v>1.5</v>
      </c>
    </row>
    <row r="285" spans="2:7" x14ac:dyDescent="0.25">
      <c r="C285" t="s">
        <v>88</v>
      </c>
      <c r="D285" s="14">
        <v>1</v>
      </c>
      <c r="E285" s="14">
        <v>0.4</v>
      </c>
      <c r="F285" s="14">
        <v>2.5</v>
      </c>
      <c r="G285" s="14">
        <f>TRUNC(E285*F285*D285,2)</f>
        <v>1</v>
      </c>
    </row>
    <row r="286" spans="2:7" x14ac:dyDescent="0.25">
      <c r="D286" s="14"/>
      <c r="G286" s="14">
        <f>SUM(G276:G285)</f>
        <v>43.08</v>
      </c>
    </row>
    <row r="288" spans="2:7" x14ac:dyDescent="0.25">
      <c r="B288" s="12">
        <f>'P. Nova'!B47</f>
        <v>38</v>
      </c>
      <c r="C288" s="12" t="str">
        <f>'P. Nova'!C47</f>
        <v>12.005.0090-0</v>
      </c>
      <c r="D288" s="12" t="str">
        <f>'P. Nova'!D47</f>
        <v>Alvenaria de bloco de concreto</v>
      </c>
      <c r="E288" s="12" t="str">
        <f>'P. Nova'!E47</f>
        <v>m²</v>
      </c>
      <c r="F288" s="13">
        <f>G294</f>
        <v>397.95000000000005</v>
      </c>
    </row>
    <row r="290" spans="2:7" x14ac:dyDescent="0.25">
      <c r="D290" s="12" t="s">
        <v>68</v>
      </c>
      <c r="E290" t="s">
        <v>113</v>
      </c>
      <c r="F290" t="s">
        <v>55</v>
      </c>
      <c r="G290" t="s">
        <v>29</v>
      </c>
    </row>
    <row r="291" spans="2:7" x14ac:dyDescent="0.25">
      <c r="C291" t="s">
        <v>150</v>
      </c>
      <c r="E291" s="14">
        <f>37.37+3.85</f>
        <v>41.22</v>
      </c>
      <c r="F291" s="14">
        <v>0.4</v>
      </c>
      <c r="G291" s="14">
        <f>TRUNC(E291*F291,2)</f>
        <v>16.48</v>
      </c>
    </row>
    <row r="292" spans="2:7" x14ac:dyDescent="0.25">
      <c r="C292" t="s">
        <v>151</v>
      </c>
      <c r="E292" s="14">
        <f>37.37+3.85</f>
        <v>41.22</v>
      </c>
      <c r="F292" s="14">
        <v>0.2</v>
      </c>
      <c r="G292" s="14">
        <f>TRUNC(E292*F292,2)</f>
        <v>8.24</v>
      </c>
    </row>
    <row r="293" spans="2:7" x14ac:dyDescent="0.25">
      <c r="C293" t="s">
        <v>604</v>
      </c>
      <c r="E293" s="14">
        <f>(23.5*2)+(10.43*2)</f>
        <v>67.86</v>
      </c>
      <c r="F293" s="14">
        <v>5.5</v>
      </c>
      <c r="G293" s="14">
        <f>TRUNC(E293*F293,2)</f>
        <v>373.23</v>
      </c>
    </row>
    <row r="294" spans="2:7" x14ac:dyDescent="0.25">
      <c r="D294" s="14"/>
      <c r="E294" s="14"/>
      <c r="F294" s="14"/>
      <c r="G294" s="14">
        <f>SUM(G291:G293)</f>
        <v>397.95000000000005</v>
      </c>
    </row>
    <row r="295" spans="2:7" x14ac:dyDescent="0.25">
      <c r="D295" s="14"/>
      <c r="E295" s="14"/>
      <c r="F295" s="14"/>
      <c r="G295" s="14"/>
    </row>
    <row r="296" spans="2:7" x14ac:dyDescent="0.25">
      <c r="B296" s="12">
        <f>'P. Nova'!B48</f>
        <v>39</v>
      </c>
      <c r="C296" s="12" t="str">
        <f>'P. Nova'!C48</f>
        <v>13.370.0025-0</v>
      </c>
      <c r="D296" s="12" t="str">
        <f>'P. Nova'!D48</f>
        <v>Pátio concreto, 15cm, exclusive prep. Terreno</v>
      </c>
      <c r="E296" s="12" t="str">
        <f>'P. Nova'!E48</f>
        <v>m²</v>
      </c>
      <c r="F296" s="13">
        <f>G307</f>
        <v>170.61</v>
      </c>
    </row>
    <row r="298" spans="2:7" x14ac:dyDescent="0.25">
      <c r="D298" s="12" t="s">
        <v>68</v>
      </c>
      <c r="E298" t="s">
        <v>61</v>
      </c>
      <c r="F298" t="s">
        <v>62</v>
      </c>
      <c r="G298" t="s">
        <v>29</v>
      </c>
    </row>
    <row r="299" spans="2:7" x14ac:dyDescent="0.25">
      <c r="C299" t="s">
        <v>118</v>
      </c>
      <c r="D299" s="14">
        <v>1</v>
      </c>
      <c r="E299" s="14">
        <v>10.8</v>
      </c>
      <c r="F299" s="14">
        <v>1.67</v>
      </c>
      <c r="G299" s="14">
        <f t="shared" ref="G299:G306" si="8">TRUNC(E299*F299*D299,2)</f>
        <v>18.03</v>
      </c>
    </row>
    <row r="300" spans="2:7" x14ac:dyDescent="0.25">
      <c r="C300" t="s">
        <v>125</v>
      </c>
      <c r="D300" s="14">
        <v>1</v>
      </c>
      <c r="E300" s="14">
        <v>11.5</v>
      </c>
      <c r="F300" s="14">
        <v>5.05</v>
      </c>
      <c r="G300" s="14">
        <f t="shared" si="8"/>
        <v>58.07</v>
      </c>
    </row>
    <row r="301" spans="2:7" x14ac:dyDescent="0.25">
      <c r="C301" t="s">
        <v>126</v>
      </c>
      <c r="D301" s="14">
        <v>1</v>
      </c>
      <c r="E301" s="14">
        <v>1.19</v>
      </c>
      <c r="F301" s="14">
        <v>3.61</v>
      </c>
      <c r="G301" s="14">
        <f t="shared" si="8"/>
        <v>4.29</v>
      </c>
    </row>
    <row r="302" spans="2:7" x14ac:dyDescent="0.25">
      <c r="C302" t="s">
        <v>127</v>
      </c>
      <c r="D302" s="14">
        <v>1</v>
      </c>
      <c r="E302" s="14">
        <v>2.87</v>
      </c>
      <c r="F302" s="14">
        <v>4.5</v>
      </c>
      <c r="G302" s="14">
        <f t="shared" si="8"/>
        <v>12.91</v>
      </c>
    </row>
    <row r="303" spans="2:7" x14ac:dyDescent="0.25">
      <c r="C303" t="s">
        <v>128</v>
      </c>
      <c r="D303" s="14">
        <v>1</v>
      </c>
      <c r="E303" s="14">
        <v>2.5</v>
      </c>
      <c r="F303" s="14">
        <v>1.67</v>
      </c>
      <c r="G303" s="14">
        <f t="shared" si="8"/>
        <v>4.17</v>
      </c>
    </row>
    <row r="304" spans="2:7" x14ac:dyDescent="0.25">
      <c r="C304" t="s">
        <v>129</v>
      </c>
      <c r="D304" s="14">
        <v>1</v>
      </c>
      <c r="E304" s="14">
        <v>2.5</v>
      </c>
      <c r="F304" s="14">
        <v>1.67</v>
      </c>
      <c r="G304" s="14">
        <f t="shared" si="8"/>
        <v>4.17</v>
      </c>
    </row>
    <row r="305" spans="2:7" x14ac:dyDescent="0.25">
      <c r="C305" t="s">
        <v>130</v>
      </c>
      <c r="D305" s="14">
        <v>1</v>
      </c>
      <c r="E305" s="14">
        <v>6.26</v>
      </c>
      <c r="F305" s="14">
        <v>4.79</v>
      </c>
      <c r="G305" s="14">
        <f t="shared" si="8"/>
        <v>29.98</v>
      </c>
    </row>
    <row r="306" spans="2:7" x14ac:dyDescent="0.25">
      <c r="C306" t="s">
        <v>92</v>
      </c>
      <c r="D306" s="14">
        <v>1</v>
      </c>
      <c r="E306" s="14">
        <v>6.77</v>
      </c>
      <c r="F306" s="14">
        <v>5.76</v>
      </c>
      <c r="G306" s="14">
        <f t="shared" si="8"/>
        <v>38.99</v>
      </c>
    </row>
    <row r="307" spans="2:7" x14ac:dyDescent="0.25">
      <c r="G307" s="14">
        <f>SUM(G299:G306)</f>
        <v>170.61</v>
      </c>
    </row>
    <row r="309" spans="2:7" x14ac:dyDescent="0.25">
      <c r="B309" s="12">
        <f>'P. Nova'!B49</f>
        <v>40</v>
      </c>
      <c r="C309" s="12" t="str">
        <f>'P. Nova'!C49</f>
        <v>ET 05.55.0050 (/)</v>
      </c>
      <c r="D309" s="8" t="str">
        <f>'P. Nova'!D49</f>
        <v>Lona de polietileno (lona terreiro) para impermeabilizacao de solo</v>
      </c>
      <c r="E309" s="12" t="str">
        <f>'P. Nova'!E49</f>
        <v>m2</v>
      </c>
      <c r="F309" s="13">
        <f>G317</f>
        <v>144.24</v>
      </c>
    </row>
    <row r="311" spans="2:7" x14ac:dyDescent="0.25">
      <c r="D311" s="12" t="s">
        <v>68</v>
      </c>
      <c r="E311" t="s">
        <v>61</v>
      </c>
      <c r="F311" t="s">
        <v>62</v>
      </c>
      <c r="G311" t="s">
        <v>29</v>
      </c>
    </row>
    <row r="312" spans="2:7" x14ac:dyDescent="0.25">
      <c r="C312" t="s">
        <v>125</v>
      </c>
      <c r="D312" s="14">
        <v>1</v>
      </c>
      <c r="E312" s="14">
        <v>11.5</v>
      </c>
      <c r="F312" s="14">
        <v>5.05</v>
      </c>
      <c r="G312" s="14">
        <f t="shared" ref="G312:G316" si="9">TRUNC(E312*F312*D312,2)</f>
        <v>58.07</v>
      </c>
    </row>
    <row r="313" spans="2:7" x14ac:dyDescent="0.25">
      <c r="C313" t="s">
        <v>126</v>
      </c>
      <c r="D313" s="14">
        <v>1</v>
      </c>
      <c r="E313" s="14">
        <v>1.19</v>
      </c>
      <c r="F313" s="14">
        <v>3.61</v>
      </c>
      <c r="G313" s="14">
        <f t="shared" si="9"/>
        <v>4.29</v>
      </c>
    </row>
    <row r="314" spans="2:7" x14ac:dyDescent="0.25">
      <c r="C314" t="s">
        <v>127</v>
      </c>
      <c r="D314" s="14">
        <v>1</v>
      </c>
      <c r="E314" s="14">
        <v>2.87</v>
      </c>
      <c r="F314" s="14">
        <v>4.5</v>
      </c>
      <c r="G314" s="14">
        <f t="shared" si="9"/>
        <v>12.91</v>
      </c>
    </row>
    <row r="315" spans="2:7" x14ac:dyDescent="0.25">
      <c r="C315" t="s">
        <v>130</v>
      </c>
      <c r="D315" s="14">
        <v>1</v>
      </c>
      <c r="E315" s="14">
        <v>6.26</v>
      </c>
      <c r="F315" s="14">
        <v>4.79</v>
      </c>
      <c r="G315" s="14">
        <f t="shared" si="9"/>
        <v>29.98</v>
      </c>
    </row>
    <row r="316" spans="2:7" x14ac:dyDescent="0.25">
      <c r="C316" t="s">
        <v>92</v>
      </c>
      <c r="D316" s="14">
        <v>1</v>
      </c>
      <c r="E316" s="14">
        <v>6.77</v>
      </c>
      <c r="F316" s="14">
        <v>5.76</v>
      </c>
      <c r="G316" s="14">
        <f t="shared" si="9"/>
        <v>38.99</v>
      </c>
    </row>
    <row r="317" spans="2:7" x14ac:dyDescent="0.25">
      <c r="G317" s="14">
        <f>SUM(G312:G316)</f>
        <v>144.24</v>
      </c>
    </row>
    <row r="318" spans="2:7" x14ac:dyDescent="0.25">
      <c r="G318" s="14"/>
    </row>
    <row r="319" spans="2:7" x14ac:dyDescent="0.25">
      <c r="B319" s="12">
        <f>'P. Nova'!B50</f>
        <v>41</v>
      </c>
      <c r="C319" s="12" t="str">
        <f>'P. Nova'!C50</f>
        <v>13.001.0031-0</v>
      </c>
      <c r="D319" s="12" t="str">
        <f>'P. Nova'!D50</f>
        <v>Emboço de parede 2,5cm</v>
      </c>
      <c r="E319" s="12" t="str">
        <f>'P. Nova'!E50</f>
        <v>m²</v>
      </c>
      <c r="F319" s="13">
        <f>G325</f>
        <v>1032.06</v>
      </c>
    </row>
    <row r="321" spans="2:7" x14ac:dyDescent="0.25">
      <c r="D321" s="12"/>
      <c r="E321" t="s">
        <v>162</v>
      </c>
      <c r="F321" t="s">
        <v>161</v>
      </c>
      <c r="G321" t="s">
        <v>29</v>
      </c>
    </row>
    <row r="322" spans="2:7" x14ac:dyDescent="0.25">
      <c r="C322" t="s">
        <v>543</v>
      </c>
      <c r="E322" s="14">
        <f>F273</f>
        <v>43.08</v>
      </c>
      <c r="F322" s="14">
        <v>2</v>
      </c>
      <c r="G322" s="14">
        <f>TRUNC(E322*F322,2)</f>
        <v>86.16</v>
      </c>
    </row>
    <row r="323" spans="2:7" x14ac:dyDescent="0.25">
      <c r="C323" t="s">
        <v>544</v>
      </c>
      <c r="E323" s="14">
        <f>F288</f>
        <v>397.95000000000005</v>
      </c>
      <c r="F323" s="14">
        <v>2</v>
      </c>
      <c r="G323" s="14">
        <f>TRUNC(E323*F323,2)</f>
        <v>795.9</v>
      </c>
    </row>
    <row r="324" spans="2:7" x14ac:dyDescent="0.25">
      <c r="C324" t="s">
        <v>164</v>
      </c>
      <c r="E324" s="14">
        <v>150</v>
      </c>
      <c r="F324" s="14">
        <v>1</v>
      </c>
      <c r="G324" s="14">
        <f>TRUNC(E324*F324,2)</f>
        <v>150</v>
      </c>
    </row>
    <row r="325" spans="2:7" x14ac:dyDescent="0.25">
      <c r="G325" s="14">
        <f>SUM(G322:G324)</f>
        <v>1032.06</v>
      </c>
    </row>
    <row r="326" spans="2:7" x14ac:dyDescent="0.25">
      <c r="G326" s="14"/>
    </row>
    <row r="327" spans="2:7" x14ac:dyDescent="0.25">
      <c r="B327" s="12">
        <f>'P. Nova'!B51</f>
        <v>42</v>
      </c>
      <c r="C327" s="12" t="str">
        <f>'P. Nova'!C51</f>
        <v>13.330.0033-0</v>
      </c>
      <c r="D327" s="12" t="str">
        <f>'P. Nova'!D51</f>
        <v>Assentamento de soleiras</v>
      </c>
      <c r="E327" s="12" t="str">
        <f>'P. Nova'!E51</f>
        <v>m</v>
      </c>
      <c r="F327" s="13">
        <f>G330</f>
        <v>6.9</v>
      </c>
    </row>
    <row r="329" spans="2:7" x14ac:dyDescent="0.25">
      <c r="D329" s="12"/>
      <c r="G329" t="s">
        <v>29</v>
      </c>
    </row>
    <row r="330" spans="2:7" x14ac:dyDescent="0.25">
      <c r="C330" t="s">
        <v>230</v>
      </c>
      <c r="E330" s="14"/>
      <c r="F330" s="14"/>
      <c r="G330" s="14">
        <f>F332</f>
        <v>6.9</v>
      </c>
    </row>
    <row r="331" spans="2:7" x14ac:dyDescent="0.25">
      <c r="G331" s="14"/>
    </row>
    <row r="332" spans="2:7" x14ac:dyDescent="0.25">
      <c r="B332" s="12">
        <f>'P. Nova'!B52</f>
        <v>43</v>
      </c>
      <c r="C332" s="12" t="str">
        <f>'P. Nova'!C52</f>
        <v>13.348.0075-0</v>
      </c>
      <c r="D332" s="12" t="str">
        <f>'P. Nova'!D52</f>
        <v>Soleira em granito</v>
      </c>
      <c r="E332" s="12" t="str">
        <f>'P. Nova'!E52</f>
        <v>m</v>
      </c>
      <c r="F332" s="13">
        <f>G335</f>
        <v>6.9</v>
      </c>
    </row>
    <row r="334" spans="2:7" x14ac:dyDescent="0.25">
      <c r="D334" s="12"/>
      <c r="G334" t="s">
        <v>29</v>
      </c>
    </row>
    <row r="335" spans="2:7" x14ac:dyDescent="0.25">
      <c r="C335" t="s">
        <v>230</v>
      </c>
      <c r="E335" s="14"/>
      <c r="F335" s="14"/>
      <c r="G335" s="14">
        <f>(0.9*6)+(0.8)+(0.7)</f>
        <v>6.9</v>
      </c>
    </row>
    <row r="336" spans="2:7" x14ac:dyDescent="0.25">
      <c r="G336" s="14"/>
    </row>
    <row r="337" spans="2:7" x14ac:dyDescent="0.25">
      <c r="B337" s="12">
        <f>'P. Nova'!B53</f>
        <v>44</v>
      </c>
      <c r="C337" s="12" t="str">
        <f>'P. Nova'!C53</f>
        <v>14.002.0220-0</v>
      </c>
      <c r="D337" s="12" t="str">
        <f>'P. Nova'!D53</f>
        <v>Corrimão escada</v>
      </c>
      <c r="E337" s="12" t="str">
        <f>'P. Nova'!E53</f>
        <v>m</v>
      </c>
      <c r="F337" s="13">
        <f>G340</f>
        <v>10</v>
      </c>
    </row>
    <row r="339" spans="2:7" x14ac:dyDescent="0.25">
      <c r="D339" s="12"/>
      <c r="G339" t="s">
        <v>29</v>
      </c>
    </row>
    <row r="340" spans="2:7" x14ac:dyDescent="0.25">
      <c r="C340" t="s">
        <v>281</v>
      </c>
      <c r="E340" s="14"/>
      <c r="F340" s="14"/>
      <c r="G340" s="14">
        <f>10</f>
        <v>10</v>
      </c>
    </row>
    <row r="341" spans="2:7" x14ac:dyDescent="0.25">
      <c r="G341" s="14"/>
    </row>
    <row r="342" spans="2:7" x14ac:dyDescent="0.25">
      <c r="B342" s="12">
        <f>'P. Nova'!B54</f>
        <v>45</v>
      </c>
      <c r="C342" s="12">
        <f>'P. Nova'!C54</f>
        <v>96399</v>
      </c>
      <c r="D342" s="12" t="str">
        <f>'P. Nova'!D54</f>
        <v>Execução e compactação de base de pedra rachão</v>
      </c>
      <c r="E342" s="12" t="str">
        <f>'P. Nova'!E54</f>
        <v>m³</v>
      </c>
      <c r="F342" s="13">
        <f>G350</f>
        <v>21.639975</v>
      </c>
    </row>
    <row r="344" spans="2:7" x14ac:dyDescent="0.25">
      <c r="D344" s="12" t="s">
        <v>54</v>
      </c>
      <c r="E344" t="s">
        <v>61</v>
      </c>
      <c r="F344" t="s">
        <v>62</v>
      </c>
      <c r="G344" t="s">
        <v>29</v>
      </c>
    </row>
    <row r="345" spans="2:7" x14ac:dyDescent="0.25">
      <c r="C345" t="s">
        <v>125</v>
      </c>
      <c r="D345" s="14">
        <v>0.15</v>
      </c>
      <c r="E345" s="14">
        <v>11.5</v>
      </c>
      <c r="F345" s="14">
        <v>5.05</v>
      </c>
      <c r="G345">
        <f>D345*E345*F345</f>
        <v>8.7112499999999997</v>
      </c>
    </row>
    <row r="346" spans="2:7" x14ac:dyDescent="0.25">
      <c r="C346" t="s">
        <v>126</v>
      </c>
      <c r="D346" s="14">
        <v>0.15</v>
      </c>
      <c r="E346" s="14">
        <v>1.19</v>
      </c>
      <c r="F346" s="14">
        <v>3.61</v>
      </c>
      <c r="G346">
        <f t="shared" ref="G346:G349" si="10">D346*E346*F346</f>
        <v>0.64438499999999999</v>
      </c>
    </row>
    <row r="347" spans="2:7" x14ac:dyDescent="0.25">
      <c r="C347" t="s">
        <v>127</v>
      </c>
      <c r="D347" s="14">
        <v>0.15</v>
      </c>
      <c r="E347" s="14">
        <v>2.87</v>
      </c>
      <c r="F347" s="14">
        <v>4.5</v>
      </c>
      <c r="G347">
        <f t="shared" si="10"/>
        <v>1.9372499999999999</v>
      </c>
    </row>
    <row r="348" spans="2:7" x14ac:dyDescent="0.25">
      <c r="C348" t="s">
        <v>130</v>
      </c>
      <c r="D348" s="14">
        <v>0.15</v>
      </c>
      <c r="E348" s="14">
        <v>6.26</v>
      </c>
      <c r="F348" s="14">
        <v>4.79</v>
      </c>
      <c r="G348">
        <f t="shared" si="10"/>
        <v>4.4978099999999994</v>
      </c>
    </row>
    <row r="349" spans="2:7" x14ac:dyDescent="0.25">
      <c r="C349" t="s">
        <v>92</v>
      </c>
      <c r="D349" s="14">
        <v>0.15</v>
      </c>
      <c r="E349" s="14">
        <v>6.77</v>
      </c>
      <c r="F349" s="14">
        <v>5.76</v>
      </c>
      <c r="G349">
        <f t="shared" si="10"/>
        <v>5.8492799999999985</v>
      </c>
    </row>
    <row r="350" spans="2:7" x14ac:dyDescent="0.25">
      <c r="E350" s="14"/>
      <c r="F350" s="14"/>
      <c r="G350" s="14">
        <f>SUM(G345:G349)</f>
        <v>21.639975</v>
      </c>
    </row>
    <row r="351" spans="2:7" x14ac:dyDescent="0.25">
      <c r="G351" s="14"/>
    </row>
    <row r="352" spans="2:7" x14ac:dyDescent="0.25">
      <c r="B352" s="12">
        <f>'P. Nova'!B55</f>
        <v>46</v>
      </c>
      <c r="C352" s="12" t="str">
        <f>'P. Nova'!C55</f>
        <v>04.005.0141-0</v>
      </c>
      <c r="D352" s="12" t="str">
        <f>'P. Nova'!D55</f>
        <v>Transporte de carga de qualquer naturez (Rachão)</v>
      </c>
      <c r="E352" s="12" t="str">
        <f>'P. Nova'!E55</f>
        <v>T x Km</v>
      </c>
      <c r="F352" s="13">
        <f>G355</f>
        <v>757.39912500000003</v>
      </c>
    </row>
    <row r="354" spans="2:7" x14ac:dyDescent="0.25">
      <c r="D354" s="12" t="s">
        <v>358</v>
      </c>
      <c r="E354" s="12" t="s">
        <v>359</v>
      </c>
      <c r="F354" s="12" t="s">
        <v>360</v>
      </c>
      <c r="G354" t="s">
        <v>29</v>
      </c>
    </row>
    <row r="355" spans="2:7" x14ac:dyDescent="0.25">
      <c r="C355" t="s">
        <v>361</v>
      </c>
      <c r="D355" s="12">
        <v>1.4</v>
      </c>
      <c r="E355" s="14">
        <f>F342</f>
        <v>21.639975</v>
      </c>
      <c r="F355" s="14">
        <v>25</v>
      </c>
      <c r="G355" s="14">
        <f>D355*E355*F355</f>
        <v>757.39912500000003</v>
      </c>
    </row>
    <row r="356" spans="2:7" x14ac:dyDescent="0.25">
      <c r="G356" s="14"/>
    </row>
    <row r="357" spans="2:7" x14ac:dyDescent="0.25">
      <c r="B357" s="12">
        <f>'P. Nova'!B56</f>
        <v>47</v>
      </c>
      <c r="C357" s="12" t="str">
        <f>'P. Nova'!C56</f>
        <v>04.018.0010-0</v>
      </c>
      <c r="D357" s="12" t="str">
        <f>'P. Nova'!D56</f>
        <v>Recebimento de carga de caminhão basculante</v>
      </c>
      <c r="E357" s="12" t="str">
        <f>'P. Nova'!E56</f>
        <v>T</v>
      </c>
      <c r="F357" s="13">
        <f>G360</f>
        <v>30.295964999999999</v>
      </c>
    </row>
    <row r="359" spans="2:7" x14ac:dyDescent="0.25">
      <c r="D359" s="12"/>
      <c r="G359" t="s">
        <v>29</v>
      </c>
    </row>
    <row r="360" spans="2:7" x14ac:dyDescent="0.25">
      <c r="C360" t="s">
        <v>362</v>
      </c>
      <c r="E360" s="14"/>
      <c r="F360" s="14"/>
      <c r="G360" s="14">
        <f>D355*E355</f>
        <v>30.295964999999999</v>
      </c>
    </row>
    <row r="361" spans="2:7" x14ac:dyDescent="0.25">
      <c r="G361" s="14"/>
    </row>
    <row r="362" spans="2:7" x14ac:dyDescent="0.25">
      <c r="B362" s="12">
        <f>'P. Nova'!B57</f>
        <v>48</v>
      </c>
      <c r="C362" s="12" t="str">
        <f>'P. Nova'!C57</f>
        <v>04.010.0046-0</v>
      </c>
      <c r="D362" s="12" t="str">
        <f>'P. Nova'!D57</f>
        <v>Carga e descarga mecânica de agregados</v>
      </c>
      <c r="E362" s="12" t="str">
        <f>'P. Nova'!E57</f>
        <v>T</v>
      </c>
      <c r="F362" s="13">
        <f>G365</f>
        <v>30.295964999999999</v>
      </c>
    </row>
    <row r="364" spans="2:7" x14ac:dyDescent="0.25">
      <c r="D364" s="12"/>
      <c r="G364" t="s">
        <v>29</v>
      </c>
    </row>
    <row r="365" spans="2:7" x14ac:dyDescent="0.25">
      <c r="C365" t="s">
        <v>362</v>
      </c>
      <c r="E365" s="14"/>
      <c r="F365" s="14"/>
      <c r="G365" s="14">
        <f>G360</f>
        <v>30.295964999999999</v>
      </c>
    </row>
    <row r="366" spans="2:7" x14ac:dyDescent="0.25">
      <c r="G366" s="14"/>
    </row>
    <row r="367" spans="2:7" x14ac:dyDescent="0.25">
      <c r="B367" s="12">
        <f>'P. Nova'!B58</f>
        <v>49</v>
      </c>
      <c r="C367" s="12" t="str">
        <f>'P. Nova'!C58</f>
        <v>58.002.0315-1</v>
      </c>
      <c r="D367" s="12" t="str">
        <f>'P. Nova'!D58</f>
        <v>Base de brita corrida medida após compactação</v>
      </c>
      <c r="E367" s="12" t="str">
        <f>'P. Nova'!E58</f>
        <v>m³</v>
      </c>
      <c r="F367" s="14">
        <f>G375</f>
        <v>14.42665</v>
      </c>
    </row>
    <row r="369" spans="2:7" x14ac:dyDescent="0.25">
      <c r="D369" s="12" t="s">
        <v>54</v>
      </c>
      <c r="E369" t="s">
        <v>61</v>
      </c>
      <c r="F369" t="s">
        <v>62</v>
      </c>
      <c r="G369" t="s">
        <v>29</v>
      </c>
    </row>
    <row r="370" spans="2:7" x14ac:dyDescent="0.25">
      <c r="C370" t="s">
        <v>125</v>
      </c>
      <c r="D370" s="14">
        <v>0.1</v>
      </c>
      <c r="E370" s="14">
        <v>11.5</v>
      </c>
      <c r="F370" s="14">
        <v>5.05</v>
      </c>
      <c r="G370">
        <f>D370*E370*F370</f>
        <v>5.8075000000000001</v>
      </c>
    </row>
    <row r="371" spans="2:7" x14ac:dyDescent="0.25">
      <c r="C371" t="s">
        <v>126</v>
      </c>
      <c r="D371" s="14">
        <v>0.1</v>
      </c>
      <c r="E371" s="14">
        <v>1.19</v>
      </c>
      <c r="F371" s="14">
        <v>3.61</v>
      </c>
      <c r="G371">
        <f t="shared" ref="G371:G374" si="11">D371*E371*F371</f>
        <v>0.42958999999999997</v>
      </c>
    </row>
    <row r="372" spans="2:7" x14ac:dyDescent="0.25">
      <c r="C372" t="s">
        <v>127</v>
      </c>
      <c r="D372" s="14">
        <v>0.1</v>
      </c>
      <c r="E372" s="14">
        <v>2.87</v>
      </c>
      <c r="F372" s="14">
        <v>4.5</v>
      </c>
      <c r="G372">
        <f t="shared" si="11"/>
        <v>1.2915000000000001</v>
      </c>
    </row>
    <row r="373" spans="2:7" x14ac:dyDescent="0.25">
      <c r="C373" t="s">
        <v>130</v>
      </c>
      <c r="D373" s="14">
        <v>0.1</v>
      </c>
      <c r="E373" s="14">
        <v>6.26</v>
      </c>
      <c r="F373" s="14">
        <v>4.79</v>
      </c>
      <c r="G373">
        <f t="shared" si="11"/>
        <v>2.9985400000000002</v>
      </c>
    </row>
    <row r="374" spans="2:7" x14ac:dyDescent="0.25">
      <c r="C374" t="s">
        <v>92</v>
      </c>
      <c r="D374" s="14">
        <v>0.1</v>
      </c>
      <c r="E374" s="14">
        <v>6.77</v>
      </c>
      <c r="F374" s="14">
        <v>5.76</v>
      </c>
      <c r="G374">
        <f t="shared" si="11"/>
        <v>3.8995200000000003</v>
      </c>
    </row>
    <row r="375" spans="2:7" x14ac:dyDescent="0.25">
      <c r="E375" s="14"/>
      <c r="F375" s="14"/>
      <c r="G375" s="14">
        <f>SUM(G370:G374)</f>
        <v>14.42665</v>
      </c>
    </row>
    <row r="376" spans="2:7" x14ac:dyDescent="0.25">
      <c r="G376" s="14"/>
    </row>
    <row r="377" spans="2:7" x14ac:dyDescent="0.25">
      <c r="B377" s="12">
        <f>'P. Nova'!B59</f>
        <v>50</v>
      </c>
      <c r="C377" s="12" t="str">
        <f>'P. Nova'!C59</f>
        <v>01.005.0004-0</v>
      </c>
      <c r="D377" s="12" t="str">
        <f>'P. Nova'!D59</f>
        <v>Preparo manual de terreno até 30cm</v>
      </c>
      <c r="E377" s="12" t="str">
        <f>'P. Nova'!E59</f>
        <v>m²</v>
      </c>
      <c r="F377" s="14">
        <f>G385</f>
        <v>144.26650000000001</v>
      </c>
    </row>
    <row r="379" spans="2:7" x14ac:dyDescent="0.25">
      <c r="D379" s="12"/>
      <c r="E379" t="s">
        <v>61</v>
      </c>
      <c r="F379" t="s">
        <v>62</v>
      </c>
      <c r="G379" t="s">
        <v>29</v>
      </c>
    </row>
    <row r="380" spans="2:7" x14ac:dyDescent="0.25">
      <c r="C380" t="s">
        <v>125</v>
      </c>
      <c r="D380" s="14"/>
      <c r="E380" s="14">
        <v>11.5</v>
      </c>
      <c r="F380" s="14">
        <v>5.05</v>
      </c>
      <c r="G380">
        <f>E380*F380</f>
        <v>58.074999999999996</v>
      </c>
    </row>
    <row r="381" spans="2:7" x14ac:dyDescent="0.25">
      <c r="C381" t="s">
        <v>126</v>
      </c>
      <c r="D381" s="14"/>
      <c r="E381" s="14">
        <v>1.19</v>
      </c>
      <c r="F381" s="14">
        <v>3.61</v>
      </c>
      <c r="G381">
        <f t="shared" ref="G381:G384" si="12">E381*F381</f>
        <v>4.2958999999999996</v>
      </c>
    </row>
    <row r="382" spans="2:7" x14ac:dyDescent="0.25">
      <c r="C382" t="s">
        <v>127</v>
      </c>
      <c r="D382" s="14"/>
      <c r="E382" s="14">
        <v>2.87</v>
      </c>
      <c r="F382" s="14">
        <v>4.5</v>
      </c>
      <c r="G382">
        <f t="shared" si="12"/>
        <v>12.915000000000001</v>
      </c>
    </row>
    <row r="383" spans="2:7" x14ac:dyDescent="0.25">
      <c r="C383" t="s">
        <v>130</v>
      </c>
      <c r="D383" s="14"/>
      <c r="E383" s="14">
        <v>6.26</v>
      </c>
      <c r="F383" s="14">
        <v>4.79</v>
      </c>
      <c r="G383">
        <f t="shared" si="12"/>
        <v>29.985399999999998</v>
      </c>
    </row>
    <row r="384" spans="2:7" x14ac:dyDescent="0.25">
      <c r="C384" t="s">
        <v>92</v>
      </c>
      <c r="D384" s="14"/>
      <c r="E384" s="14">
        <v>6.77</v>
      </c>
      <c r="F384" s="14">
        <v>5.76</v>
      </c>
      <c r="G384">
        <f t="shared" si="12"/>
        <v>38.995199999999997</v>
      </c>
    </row>
    <row r="385" spans="2:7" x14ac:dyDescent="0.25">
      <c r="E385" s="14"/>
      <c r="F385" s="14"/>
      <c r="G385" s="14">
        <f>SUM(G380:G384)</f>
        <v>144.26650000000001</v>
      </c>
    </row>
    <row r="386" spans="2:7" x14ac:dyDescent="0.25">
      <c r="G386" s="14"/>
    </row>
    <row r="387" spans="2:7" x14ac:dyDescent="0.25">
      <c r="B387" s="12">
        <f>'P. Nova'!B60</f>
        <v>51</v>
      </c>
      <c r="C387" s="12" t="str">
        <f>'P. Nova'!C60</f>
        <v>11.016.0100-0</v>
      </c>
      <c r="D387" s="12" t="str">
        <f>'P. Nova'!D60</f>
        <v>Passarrela - Estrutura metálica</v>
      </c>
      <c r="E387" s="12" t="str">
        <f>'P. Nova'!E60</f>
        <v>Kg</v>
      </c>
      <c r="F387" s="13">
        <f>G390</f>
        <v>1750</v>
      </c>
    </row>
    <row r="389" spans="2:7" x14ac:dyDescent="0.25">
      <c r="D389" s="12"/>
      <c r="G389" t="s">
        <v>29</v>
      </c>
    </row>
    <row r="390" spans="2:7" x14ac:dyDescent="0.25">
      <c r="C390" t="s">
        <v>370</v>
      </c>
      <c r="E390" s="14"/>
      <c r="F390" s="14"/>
      <c r="G390" s="14">
        <v>1750</v>
      </c>
    </row>
    <row r="391" spans="2:7" x14ac:dyDescent="0.25">
      <c r="G391" s="14"/>
    </row>
    <row r="392" spans="2:7" x14ac:dyDescent="0.25">
      <c r="B392" s="12">
        <f>'P. Nova'!B61</f>
        <v>52</v>
      </c>
      <c r="C392" s="12">
        <f>'P. Nova'!C61</f>
        <v>87261</v>
      </c>
      <c r="D392" s="12" t="str">
        <f>'P. Nova'!D61</f>
        <v>Revestimento cerâmico para piso</v>
      </c>
      <c r="E392" s="12" t="str">
        <f>'P. Nova'!E61</f>
        <v>m²</v>
      </c>
      <c r="F392" s="14">
        <f>G395</f>
        <v>4.9419000000000004</v>
      </c>
    </row>
    <row r="394" spans="2:7" x14ac:dyDescent="0.25">
      <c r="D394" s="12"/>
      <c r="E394" t="s">
        <v>61</v>
      </c>
      <c r="F394" t="s">
        <v>62</v>
      </c>
      <c r="G394" t="s">
        <v>29</v>
      </c>
    </row>
    <row r="395" spans="2:7" x14ac:dyDescent="0.25">
      <c r="C395" t="s">
        <v>34</v>
      </c>
      <c r="E395" s="14">
        <v>1.71</v>
      </c>
      <c r="F395" s="14">
        <v>2.89</v>
      </c>
      <c r="G395" s="14">
        <f>E395*F395</f>
        <v>4.9419000000000004</v>
      </c>
    </row>
    <row r="396" spans="2:7" x14ac:dyDescent="0.25">
      <c r="G396" s="14"/>
    </row>
    <row r="397" spans="2:7" x14ac:dyDescent="0.25">
      <c r="B397" s="12">
        <f>'P. Nova'!B62</f>
        <v>53</v>
      </c>
      <c r="C397" s="12" t="str">
        <f>'P. Nova'!C62</f>
        <v>RV 10.10.0050 (/)</v>
      </c>
      <c r="D397" s="12" t="str">
        <f>'P. Nova'!D62</f>
        <v>Revestimentos de azulejos brancos</v>
      </c>
      <c r="E397" s="12" t="str">
        <f>'P. Nova'!E62</f>
        <v>m²</v>
      </c>
      <c r="F397" s="13">
        <f>G400</f>
        <v>32.199999999999996</v>
      </c>
    </row>
    <row r="399" spans="2:7" x14ac:dyDescent="0.25">
      <c r="D399" s="12"/>
      <c r="E399" t="s">
        <v>113</v>
      </c>
      <c r="F399" t="s">
        <v>55</v>
      </c>
      <c r="G399" t="s">
        <v>29</v>
      </c>
    </row>
    <row r="400" spans="2:7" x14ac:dyDescent="0.25">
      <c r="C400" t="s">
        <v>34</v>
      </c>
      <c r="E400" s="14">
        <f>(2*2.89)+(2*1.71)</f>
        <v>9.1999999999999993</v>
      </c>
      <c r="F400" s="14">
        <v>3.5</v>
      </c>
      <c r="G400" s="14">
        <f>E400*F400</f>
        <v>32.199999999999996</v>
      </c>
    </row>
    <row r="401" spans="2:7" x14ac:dyDescent="0.25">
      <c r="G401" s="14"/>
    </row>
    <row r="402" spans="2:7" x14ac:dyDescent="0.25">
      <c r="B402" s="12">
        <f>'P. Nova'!B63</f>
        <v>54</v>
      </c>
      <c r="C402" s="12" t="str">
        <f>'P. Nova'!C63</f>
        <v>11.023.0004-0</v>
      </c>
      <c r="D402" s="12" t="str">
        <f>'P. Nova'!D63</f>
        <v>TELA PARA ESTRUTURA DE CONCRETO ARMADO</v>
      </c>
      <c r="E402" s="12" t="str">
        <f>'P. Nova'!E63</f>
        <v>Kg</v>
      </c>
      <c r="F402" s="14">
        <f>G411</f>
        <v>1218.7327949999999</v>
      </c>
    </row>
    <row r="404" spans="2:7" x14ac:dyDescent="0.25">
      <c r="D404" s="12" t="s">
        <v>557</v>
      </c>
      <c r="E404" t="s">
        <v>61</v>
      </c>
      <c r="F404" t="s">
        <v>62</v>
      </c>
      <c r="G404" t="s">
        <v>29</v>
      </c>
    </row>
    <row r="405" spans="2:7" x14ac:dyDescent="0.25">
      <c r="C405" t="s">
        <v>125</v>
      </c>
      <c r="D405" s="14">
        <v>3.13</v>
      </c>
      <c r="E405" s="14">
        <v>11.5</v>
      </c>
      <c r="F405" s="14">
        <v>5.05</v>
      </c>
      <c r="G405">
        <f>D405*E405*F405</f>
        <v>181.77474999999998</v>
      </c>
    </row>
    <row r="406" spans="2:7" x14ac:dyDescent="0.25">
      <c r="C406" t="s">
        <v>126</v>
      </c>
      <c r="D406" s="14">
        <v>3.13</v>
      </c>
      <c r="E406" s="14">
        <v>1.19</v>
      </c>
      <c r="F406" s="14">
        <v>3.61</v>
      </c>
      <c r="G406">
        <f t="shared" ref="G406:G410" si="13">D406*E406*F406</f>
        <v>13.446166999999999</v>
      </c>
    </row>
    <row r="407" spans="2:7" x14ac:dyDescent="0.25">
      <c r="C407" t="s">
        <v>127</v>
      </c>
      <c r="D407" s="14">
        <v>3.13</v>
      </c>
      <c r="E407" s="14">
        <v>2.87</v>
      </c>
      <c r="F407" s="14">
        <v>4.5</v>
      </c>
      <c r="G407">
        <f t="shared" si="13"/>
        <v>40.423950000000005</v>
      </c>
    </row>
    <row r="408" spans="2:7" x14ac:dyDescent="0.25">
      <c r="C408" t="s">
        <v>130</v>
      </c>
      <c r="D408" s="14">
        <v>3.13</v>
      </c>
      <c r="E408" s="14">
        <v>6.26</v>
      </c>
      <c r="F408" s="14">
        <v>4.79</v>
      </c>
      <c r="G408">
        <f t="shared" si="13"/>
        <v>93.85430199999999</v>
      </c>
    </row>
    <row r="409" spans="2:7" x14ac:dyDescent="0.25">
      <c r="C409" t="s">
        <v>92</v>
      </c>
      <c r="D409" s="14">
        <v>3.13</v>
      </c>
      <c r="E409" s="14">
        <v>6.77</v>
      </c>
      <c r="F409" s="14">
        <v>5.76</v>
      </c>
      <c r="G409">
        <f t="shared" si="13"/>
        <v>122.05497599999998</v>
      </c>
    </row>
    <row r="410" spans="2:7" x14ac:dyDescent="0.25">
      <c r="C410" t="s">
        <v>556</v>
      </c>
      <c r="D410" s="14">
        <v>3.13</v>
      </c>
      <c r="E410" s="14">
        <v>23.5</v>
      </c>
      <c r="F410" s="14">
        <v>10.43</v>
      </c>
      <c r="G410">
        <f t="shared" si="13"/>
        <v>767.17864999999995</v>
      </c>
    </row>
    <row r="411" spans="2:7" x14ac:dyDescent="0.25">
      <c r="E411" s="14"/>
      <c r="F411" s="14"/>
      <c r="G411" s="14">
        <f>SUM(G405:G410)</f>
        <v>1218.7327949999999</v>
      </c>
    </row>
    <row r="412" spans="2:7" x14ac:dyDescent="0.25">
      <c r="G412" s="14"/>
    </row>
    <row r="413" spans="2:7" x14ac:dyDescent="0.25">
      <c r="B413" s="12">
        <f>'P. Nova'!B64</f>
        <v>55</v>
      </c>
      <c r="C413" s="12" t="str">
        <f>'P. Nova'!C64</f>
        <v>11.011.0027-0</v>
      </c>
      <c r="D413" s="8" t="str">
        <f>'P. Nova'!D64</f>
        <v>CORTE,DOBRAGEM,MONTAGEM E COLOCACAO DE FERRAGENS NAS FORMAS</v>
      </c>
      <c r="E413" s="12" t="str">
        <f>'P. Nova'!E64</f>
        <v>Kg</v>
      </c>
      <c r="F413" s="14">
        <f>E415</f>
        <v>1218.7327949999999</v>
      </c>
    </row>
    <row r="414" spans="2:7" x14ac:dyDescent="0.25">
      <c r="B414" s="12"/>
      <c r="C414" s="12"/>
      <c r="D414" s="8"/>
      <c r="E414" s="12"/>
      <c r="F414" s="14"/>
    </row>
    <row r="415" spans="2:7" x14ac:dyDescent="0.25">
      <c r="B415" s="12"/>
      <c r="C415" s="12"/>
      <c r="D415" s="8" t="s">
        <v>592</v>
      </c>
      <c r="E415" s="14">
        <f>G411</f>
        <v>1218.7327949999999</v>
      </c>
      <c r="F415" s="14"/>
    </row>
    <row r="416" spans="2:7" x14ac:dyDescent="0.25">
      <c r="B416" s="12"/>
      <c r="C416" s="24"/>
      <c r="D416" s="24"/>
      <c r="E416" s="24"/>
      <c r="F416" s="14"/>
    </row>
    <row r="417" spans="2:8" x14ac:dyDescent="0.25">
      <c r="B417" s="12">
        <f>'P. Nova'!B65</f>
        <v>56</v>
      </c>
      <c r="C417" s="12" t="str">
        <f>'P. Nova'!C65</f>
        <v>15.004.0505-0</v>
      </c>
      <c r="D417" s="12" t="str">
        <f>'P. Nova'!D65</f>
        <v>CALHA DE PISO NORMAL,EM PVC</v>
      </c>
      <c r="E417" s="12" t="str">
        <f>'P. Nova'!E65</f>
        <v>m</v>
      </c>
      <c r="F417" s="14">
        <f>G423</f>
        <v>40.130000000000003</v>
      </c>
    </row>
    <row r="419" spans="2:8" x14ac:dyDescent="0.25">
      <c r="D419" s="12"/>
      <c r="G419" t="s">
        <v>29</v>
      </c>
    </row>
    <row r="420" spans="2:8" x14ac:dyDescent="0.25">
      <c r="C420" t="s">
        <v>31</v>
      </c>
      <c r="D420" s="14"/>
      <c r="E420" s="14"/>
      <c r="F420" s="14"/>
      <c r="G420">
        <f>11.5+5.05</f>
        <v>16.55</v>
      </c>
    </row>
    <row r="421" spans="2:8" x14ac:dyDescent="0.25">
      <c r="C421" t="s">
        <v>130</v>
      </c>
      <c r="D421" s="14"/>
      <c r="E421" s="14"/>
      <c r="F421" s="14"/>
      <c r="G421">
        <f>6.26+4.79</f>
        <v>11.05</v>
      </c>
    </row>
    <row r="422" spans="2:8" x14ac:dyDescent="0.25">
      <c r="C422" t="s">
        <v>92</v>
      </c>
      <c r="D422" s="14"/>
      <c r="E422" s="14"/>
      <c r="F422" s="14"/>
      <c r="G422">
        <f>6.77+5.76</f>
        <v>12.53</v>
      </c>
    </row>
    <row r="423" spans="2:8" x14ac:dyDescent="0.25">
      <c r="E423" s="14"/>
      <c r="F423" s="14"/>
      <c r="G423" s="14">
        <f>SUM(G420:G422)</f>
        <v>40.130000000000003</v>
      </c>
    </row>
    <row r="424" spans="2:8" x14ac:dyDescent="0.25">
      <c r="E424" s="14"/>
      <c r="F424" s="14"/>
      <c r="G424" s="14"/>
    </row>
    <row r="425" spans="2:8" x14ac:dyDescent="0.25">
      <c r="B425" s="12">
        <f>'P. Nova'!B66</f>
        <v>57</v>
      </c>
      <c r="C425" s="12" t="str">
        <f>'P. Nova'!C66</f>
        <v>15.004.0620-0</v>
      </c>
      <c r="D425" s="12" t="str">
        <f>'P. Nova'!D66</f>
        <v>GRELHA PARA CALHA DE PISO (0,5m)</v>
      </c>
      <c r="E425" s="12" t="str">
        <f>'P. Nova'!E66</f>
        <v>unid</v>
      </c>
      <c r="F425" s="14">
        <f>G428</f>
        <v>80.260000000000005</v>
      </c>
    </row>
    <row r="427" spans="2:8" x14ac:dyDescent="0.25">
      <c r="D427" s="12"/>
      <c r="G427" t="s">
        <v>29</v>
      </c>
    </row>
    <row r="428" spans="2:8" x14ac:dyDescent="0.25">
      <c r="C428" t="s">
        <v>408</v>
      </c>
      <c r="D428" s="14"/>
      <c r="E428" s="14"/>
      <c r="F428" s="14"/>
      <c r="G428">
        <f>F417*2</f>
        <v>80.260000000000005</v>
      </c>
    </row>
    <row r="429" spans="2:8" x14ac:dyDescent="0.25">
      <c r="E429" s="14"/>
      <c r="F429" s="14"/>
      <c r="G429" s="14"/>
    </row>
    <row r="430" spans="2:8" x14ac:dyDescent="0.25">
      <c r="B430" s="12">
        <f>'P. Nova'!B67</f>
        <v>58</v>
      </c>
      <c r="C430" s="12" t="str">
        <f>'P. Nova'!C67</f>
        <v>03.013.0002-0</v>
      </c>
      <c r="D430" s="12" t="str">
        <f>'P. Nova'!D67</f>
        <v>Reaterro de vala</v>
      </c>
      <c r="E430" s="12" t="str">
        <f>'P. Nova'!E67</f>
        <v>m³</v>
      </c>
      <c r="F430" s="14">
        <f>G433</f>
        <v>35.972000000000001</v>
      </c>
    </row>
    <row r="432" spans="2:8" x14ac:dyDescent="0.25">
      <c r="D432" s="12"/>
      <c r="G432" t="s">
        <v>29</v>
      </c>
      <c r="H432" s="12"/>
    </row>
    <row r="433" spans="2:8" x14ac:dyDescent="0.25">
      <c r="C433" s="26" t="s">
        <v>435</v>
      </c>
      <c r="D433" s="27"/>
      <c r="E433" s="27"/>
      <c r="F433" s="27"/>
      <c r="G433" s="30">
        <f>F227-G446</f>
        <v>35.972000000000001</v>
      </c>
      <c r="H433" s="12"/>
    </row>
    <row r="434" spans="2:8" x14ac:dyDescent="0.25">
      <c r="E434" s="14"/>
      <c r="F434" s="14"/>
      <c r="G434" s="14"/>
    </row>
    <row r="435" spans="2:8" x14ac:dyDescent="0.25">
      <c r="B435" s="12">
        <f>'P. Nova'!B68</f>
        <v>59</v>
      </c>
      <c r="C435" s="12" t="str">
        <f>'P. Nova'!C68</f>
        <v>11.004.0023-1</v>
      </c>
      <c r="D435" s="8" t="str">
        <f>'P. Nova'!D68</f>
        <v>FORMAS  DE  MADEIRA  DE  3ª  PARA  MOLDAGEM  DE  PECAS  DE  CONCRETO  ARMADO</v>
      </c>
      <c r="E435" s="12" t="str">
        <f>'P. Nova'!E68</f>
        <v>m²</v>
      </c>
      <c r="F435" s="14">
        <f>G441</f>
        <v>157.76</v>
      </c>
    </row>
    <row r="437" spans="2:8" x14ac:dyDescent="0.25">
      <c r="D437" s="12"/>
      <c r="E437" t="s">
        <v>113</v>
      </c>
      <c r="F437" t="s">
        <v>61</v>
      </c>
      <c r="G437" t="s">
        <v>29</v>
      </c>
      <c r="H437" s="12" t="s">
        <v>339</v>
      </c>
    </row>
    <row r="438" spans="2:8" x14ac:dyDescent="0.25">
      <c r="C438" s="26" t="s">
        <v>597</v>
      </c>
      <c r="D438" s="25"/>
      <c r="E438" s="27">
        <v>3.7</v>
      </c>
      <c r="F438" s="27">
        <v>0.4</v>
      </c>
      <c r="G438" s="26">
        <f>E438*F438*H438</f>
        <v>32.56</v>
      </c>
      <c r="H438" s="28">
        <v>22</v>
      </c>
    </row>
    <row r="439" spans="2:8" x14ac:dyDescent="0.25">
      <c r="C439" s="26" t="s">
        <v>598</v>
      </c>
      <c r="D439" s="25"/>
      <c r="E439" s="27">
        <v>1.3</v>
      </c>
      <c r="F439" s="27">
        <v>2</v>
      </c>
      <c r="G439" s="26">
        <f>E439*F439*H439</f>
        <v>57.2</v>
      </c>
      <c r="H439" s="28">
        <v>22</v>
      </c>
    </row>
    <row r="440" spans="2:8" x14ac:dyDescent="0.25">
      <c r="C440" s="26" t="s">
        <v>596</v>
      </c>
      <c r="D440" s="25"/>
      <c r="E440" s="27">
        <v>1</v>
      </c>
      <c r="F440" s="27">
        <v>68</v>
      </c>
      <c r="G440" s="26">
        <f>E440*F440*H440</f>
        <v>68</v>
      </c>
      <c r="H440" s="28">
        <v>1</v>
      </c>
    </row>
    <row r="441" spans="2:8" x14ac:dyDescent="0.25">
      <c r="D441" s="14"/>
      <c r="E441" s="14"/>
      <c r="F441" s="14"/>
      <c r="G441">
        <f>G438+G440+G439</f>
        <v>157.76</v>
      </c>
      <c r="H441" s="12"/>
    </row>
    <row r="442" spans="2:8" x14ac:dyDescent="0.25">
      <c r="E442" s="14"/>
      <c r="F442" s="14"/>
      <c r="G442" s="14"/>
    </row>
    <row r="443" spans="2:8" x14ac:dyDescent="0.25">
      <c r="B443" s="12">
        <f>'P. Nova'!B69</f>
        <v>60</v>
      </c>
      <c r="C443" s="12" t="str">
        <f>'P. Nova'!C69</f>
        <v>11.025.0013-0</v>
      </c>
      <c r="D443" s="8" t="str">
        <f>'P. Nova'!D69</f>
        <v xml:space="preserve">CONCRETO     BOMBEADO,COMPREENDENDO     O     FORNECIMENTO     DECONCRETO     IMPORTADO     DEUSINA, COLOCACAO NAS FORMAS,ESPALHAMENTO,ADENSAMENTO MECANICO E ACABA MENTO </v>
      </c>
      <c r="E443" s="12" t="str">
        <f>'P. Nova'!E69</f>
        <v>m³</v>
      </c>
      <c r="F443" s="14">
        <f>G449</f>
        <v>31.305350000000004</v>
      </c>
    </row>
    <row r="445" spans="2:8" x14ac:dyDescent="0.25">
      <c r="F445" t="s">
        <v>359</v>
      </c>
      <c r="G445" t="s">
        <v>29</v>
      </c>
      <c r="H445" t="s">
        <v>339</v>
      </c>
    </row>
    <row r="446" spans="2:8" x14ac:dyDescent="0.25">
      <c r="C446" s="26" t="s">
        <v>435</v>
      </c>
      <c r="D446" s="25"/>
      <c r="E446" s="25"/>
      <c r="F446" s="27">
        <f>(0.9*0.9*0.4)+(0.3*0.3*2)</f>
        <v>0.504</v>
      </c>
      <c r="G446" s="26">
        <f>F446*H446</f>
        <v>11.088000000000001</v>
      </c>
      <c r="H446" s="28">
        <v>22</v>
      </c>
    </row>
    <row r="447" spans="2:8" x14ac:dyDescent="0.25">
      <c r="C447" s="26" t="s">
        <v>596</v>
      </c>
      <c r="D447" s="25"/>
      <c r="E447" s="25"/>
      <c r="F447" s="27">
        <f>0.3*0.15*68</f>
        <v>3.06</v>
      </c>
      <c r="G447" s="26">
        <f>F447*H447</f>
        <v>3.06</v>
      </c>
      <c r="H447" s="28">
        <v>1</v>
      </c>
    </row>
    <row r="448" spans="2:8" x14ac:dyDescent="0.25">
      <c r="C448" s="26" t="s">
        <v>556</v>
      </c>
      <c r="D448" s="25"/>
      <c r="E448" s="25"/>
      <c r="F448" s="27">
        <f>23.5*10.43*0.07</f>
        <v>17.157350000000001</v>
      </c>
      <c r="G448" s="26">
        <f>F448*H448</f>
        <v>17.157350000000001</v>
      </c>
      <c r="H448" s="28">
        <v>1</v>
      </c>
    </row>
    <row r="449" spans="2:8" x14ac:dyDescent="0.25">
      <c r="D449" s="14"/>
      <c r="E449" s="14"/>
      <c r="F449" s="14"/>
      <c r="G449">
        <f>G446+G447+G448</f>
        <v>31.305350000000004</v>
      </c>
      <c r="H449" s="12"/>
    </row>
    <row r="450" spans="2:8" x14ac:dyDescent="0.25">
      <c r="E450" s="14"/>
      <c r="F450" s="14"/>
      <c r="G450" s="14"/>
    </row>
    <row r="451" spans="2:8" x14ac:dyDescent="0.25">
      <c r="B451" s="12">
        <f>'P. Nova'!B70</f>
        <v>61</v>
      </c>
      <c r="C451" s="12" t="str">
        <f>'P. Nova'!C70</f>
        <v>11.009.0072-1</v>
      </c>
      <c r="D451" s="12" t="str">
        <f>'P. Nova'!D70</f>
        <v>BARRA   DE   ACO   CA-50</v>
      </c>
      <c r="E451" s="12" t="str">
        <f>'P. Nova'!E70</f>
        <v>Kg</v>
      </c>
      <c r="F451" s="14">
        <f>G456</f>
        <v>855.14400000000001</v>
      </c>
    </row>
    <row r="453" spans="2:8" x14ac:dyDescent="0.25">
      <c r="D453" s="12"/>
      <c r="E453" t="s">
        <v>440</v>
      </c>
      <c r="F453" t="s">
        <v>42</v>
      </c>
      <c r="G453" t="s">
        <v>29</v>
      </c>
      <c r="H453" s="12" t="s">
        <v>339</v>
      </c>
    </row>
    <row r="454" spans="2:8" x14ac:dyDescent="0.25">
      <c r="C454" s="26" t="s">
        <v>435</v>
      </c>
      <c r="D454" s="27"/>
      <c r="E454" s="27">
        <v>0.96299999999999997</v>
      </c>
      <c r="F454" s="27">
        <v>28</v>
      </c>
      <c r="G454" s="26">
        <f>F454*H454*E454</f>
        <v>593.20799999999997</v>
      </c>
      <c r="H454" s="28">
        <v>22</v>
      </c>
    </row>
    <row r="455" spans="2:8" x14ac:dyDescent="0.25">
      <c r="C455" s="26" t="s">
        <v>596</v>
      </c>
      <c r="D455" s="27"/>
      <c r="E455" s="27">
        <v>0.96299999999999997</v>
      </c>
      <c r="F455" s="27">
        <v>68</v>
      </c>
      <c r="G455" s="26">
        <f>F455*H455*E455</f>
        <v>261.93599999999998</v>
      </c>
      <c r="H455" s="28">
        <v>4</v>
      </c>
    </row>
    <row r="456" spans="2:8" x14ac:dyDescent="0.25">
      <c r="D456" s="14"/>
      <c r="E456" s="14"/>
      <c r="F456" s="14"/>
      <c r="G456">
        <f>G454+G455</f>
        <v>855.14400000000001</v>
      </c>
      <c r="H456" s="12"/>
    </row>
    <row r="457" spans="2:8" x14ac:dyDescent="0.25">
      <c r="E457" s="14"/>
      <c r="F457" s="14"/>
      <c r="G457" s="14"/>
    </row>
    <row r="458" spans="2:8" x14ac:dyDescent="0.25">
      <c r="B458" s="12">
        <f>'P. Nova'!B71</f>
        <v>62</v>
      </c>
      <c r="C458" s="12" t="str">
        <f>'P. Nova'!C71</f>
        <v>11.009.0060-1</v>
      </c>
      <c r="D458" s="12" t="str">
        <f>'P. Nova'!D71</f>
        <v>FIO  DE  ACO  CA-60</v>
      </c>
      <c r="E458" s="12" t="str">
        <f>'P. Nova'!E71</f>
        <v>Kg</v>
      </c>
      <c r="F458" s="14">
        <f>G463</f>
        <v>92.710599999999999</v>
      </c>
    </row>
    <row r="460" spans="2:8" x14ac:dyDescent="0.25">
      <c r="D460" s="12"/>
      <c r="E460" t="s">
        <v>441</v>
      </c>
      <c r="F460" t="s">
        <v>42</v>
      </c>
      <c r="G460" t="s">
        <v>29</v>
      </c>
      <c r="H460" s="12" t="s">
        <v>339</v>
      </c>
    </row>
    <row r="461" spans="2:8" x14ac:dyDescent="0.25">
      <c r="C461" s="26" t="s">
        <v>435</v>
      </c>
      <c r="D461" s="25"/>
      <c r="E461" s="27">
        <v>0.14810000000000001</v>
      </c>
      <c r="F461" s="27">
        <v>13</v>
      </c>
      <c r="G461" s="26">
        <f>F461*H461*E461</f>
        <v>42.3566</v>
      </c>
      <c r="H461" s="28">
        <v>22</v>
      </c>
    </row>
    <row r="462" spans="2:8" x14ac:dyDescent="0.25">
      <c r="C462" s="26" t="s">
        <v>596</v>
      </c>
      <c r="D462" s="25"/>
      <c r="E462" s="27">
        <v>0.14810000000000001</v>
      </c>
      <c r="F462" s="27">
        <v>1</v>
      </c>
      <c r="G462" s="26">
        <f>F462*H462*E462</f>
        <v>50.354000000000006</v>
      </c>
      <c r="H462" s="28">
        <v>340</v>
      </c>
    </row>
    <row r="463" spans="2:8" x14ac:dyDescent="0.25">
      <c r="C463" s="26"/>
      <c r="D463" s="25"/>
      <c r="E463" s="27"/>
      <c r="F463" s="27"/>
      <c r="G463" s="26">
        <f>SUM(G461:G462)</f>
        <v>92.710599999999999</v>
      </c>
      <c r="H463" s="28"/>
    </row>
    <row r="464" spans="2:8" x14ac:dyDescent="0.25">
      <c r="E464" s="14"/>
      <c r="F464" s="14"/>
      <c r="G464" s="14"/>
    </row>
    <row r="465" spans="2:8" x14ac:dyDescent="0.25">
      <c r="B465" s="12">
        <f>'P. Nova'!B72</f>
        <v>63</v>
      </c>
      <c r="C465" s="12" t="str">
        <f>'P. Nova'!C72</f>
        <v>13.301.0132-0</v>
      </c>
      <c r="D465" s="8" t="str">
        <f>'P. Nova'!D72</f>
        <v>CONTRAPISO,BASE   OU   CAMADA   REGULARIZADORA, EXECUTADA   COM   ARGAMASSA   DE   CIMENTO   E   AREIA, NOTRACO 1:4,NA ESPESSURA DE 5CM</v>
      </c>
      <c r="E465" s="12" t="str">
        <f>'P. Nova'!E72</f>
        <v>m²</v>
      </c>
      <c r="F465" s="14">
        <f>G468</f>
        <v>44</v>
      </c>
    </row>
    <row r="467" spans="2:8" x14ac:dyDescent="0.25">
      <c r="D467" s="12"/>
      <c r="E467" t="s">
        <v>61</v>
      </c>
      <c r="F467" t="s">
        <v>62</v>
      </c>
      <c r="G467" t="s">
        <v>29</v>
      </c>
      <c r="H467" s="12" t="s">
        <v>339</v>
      </c>
    </row>
    <row r="468" spans="2:8" x14ac:dyDescent="0.25">
      <c r="C468" s="26" t="s">
        <v>442</v>
      </c>
      <c r="D468" s="27"/>
      <c r="E468" s="27">
        <v>1</v>
      </c>
      <c r="F468" s="27">
        <v>1</v>
      </c>
      <c r="G468" s="26">
        <f>E468*F468*H468</f>
        <v>44</v>
      </c>
      <c r="H468" s="28">
        <v>44</v>
      </c>
    </row>
    <row r="469" spans="2:8" x14ac:dyDescent="0.25">
      <c r="E469" s="14"/>
      <c r="F469" s="14"/>
      <c r="G469" s="14"/>
    </row>
    <row r="470" spans="2:8" x14ac:dyDescent="0.25">
      <c r="B470" s="12">
        <f>'P. Nova'!B73</f>
        <v>64</v>
      </c>
      <c r="C470" s="12" t="str">
        <f>'P. Nova'!C73</f>
        <v>13.390.0042-0</v>
      </c>
      <c r="D470" s="8" t="str">
        <f>'P. Nova'!D73</f>
        <v>PISO VINILICO EM MANTAS,COM 2M DE LARGURA X 23M DE COMPRIMENTO,HETEROGENEO,COM 3MM DE ESPESSURA,REFORCO EM POLIURETANO ULTRA RESISTENTE (PUR),PARA ALTO TRAFEGO,ASSENTE SOBRE BASE EXISTENTE,CONFORME ABNT NBR 14917.FORNECIMENTO E COLOCACAO</v>
      </c>
      <c r="E470" s="12" t="str">
        <f>'P. Nova'!E73</f>
        <v>m²</v>
      </c>
      <c r="F470" s="14">
        <f>G475</f>
        <v>77.947400000000002</v>
      </c>
    </row>
    <row r="472" spans="2:8" x14ac:dyDescent="0.25">
      <c r="D472" s="12"/>
      <c r="G472" t="s">
        <v>29</v>
      </c>
      <c r="H472" s="12"/>
    </row>
    <row r="473" spans="2:8" x14ac:dyDescent="0.25">
      <c r="C473" t="s">
        <v>482</v>
      </c>
      <c r="D473" s="14"/>
      <c r="E473" s="14"/>
      <c r="F473" s="14"/>
      <c r="G473" s="12">
        <f>(3.77*(3.08+3.48))+(2.77*4.06)+(4.33*2)+7.22+4.35</f>
        <v>56.2074</v>
      </c>
      <c r="H473" s="12"/>
    </row>
    <row r="474" spans="2:8" x14ac:dyDescent="0.25">
      <c r="C474" t="s">
        <v>483</v>
      </c>
      <c r="E474" s="14"/>
      <c r="F474" s="14"/>
      <c r="G474" s="14">
        <f>(2.76*4)+7.32+3.38</f>
        <v>21.74</v>
      </c>
    </row>
    <row r="475" spans="2:8" x14ac:dyDescent="0.25">
      <c r="E475" s="14"/>
      <c r="F475" s="14"/>
      <c r="G475" s="14">
        <f>SUM(G473:G474)</f>
        <v>77.947400000000002</v>
      </c>
    </row>
    <row r="476" spans="2:8" x14ac:dyDescent="0.25">
      <c r="E476" s="14"/>
      <c r="F476" s="14"/>
      <c r="G476" s="14"/>
    </row>
    <row r="477" spans="2:8" x14ac:dyDescent="0.25">
      <c r="B477" s="12">
        <f>'P. Nova'!B74</f>
        <v>65</v>
      </c>
      <c r="C477" s="12" t="str">
        <f>'P. Nova'!C74</f>
        <v>13.398.0016-0</v>
      </c>
      <c r="D477" s="8" t="str">
        <f>'P. Nova'!D74</f>
        <v>PISO DE FRISO DE IPE OU MADEIRA EQUIVALENTE COM 20X2CM,PREGADO SOBRE BARROTEAMENTO OU REGUAS DE MADEIRA DE LEI A CADA 50CM,EXCLUSIVE BARROTES OU REGUAS</v>
      </c>
      <c r="E477" s="12" t="str">
        <f>'P. Nova'!E74</f>
        <v>m²</v>
      </c>
      <c r="F477" s="14">
        <f>G480</f>
        <v>10.879</v>
      </c>
    </row>
    <row r="479" spans="2:8" x14ac:dyDescent="0.25">
      <c r="D479" s="12"/>
      <c r="E479" t="s">
        <v>61</v>
      </c>
      <c r="F479" t="s">
        <v>62</v>
      </c>
      <c r="G479" t="s">
        <v>29</v>
      </c>
    </row>
    <row r="480" spans="2:8" x14ac:dyDescent="0.25">
      <c r="C480" t="s">
        <v>560</v>
      </c>
      <c r="D480" s="14"/>
      <c r="E480" s="14">
        <v>4.7300000000000004</v>
      </c>
      <c r="F480" s="14">
        <v>2.2999999999999998</v>
      </c>
      <c r="G480">
        <f>E480*F480</f>
        <v>10.879</v>
      </c>
    </row>
    <row r="481" spans="2:7" x14ac:dyDescent="0.25">
      <c r="D481" s="14"/>
      <c r="E481" s="14"/>
      <c r="F481" s="14"/>
    </row>
    <row r="482" spans="2:7" x14ac:dyDescent="0.25">
      <c r="B482" s="12">
        <f>'P. Nova'!B75</f>
        <v>66</v>
      </c>
      <c r="C482" s="12" t="str">
        <f>'P. Nova'!C75</f>
        <v>13.196.0095-0</v>
      </c>
      <c r="D482" s="8" t="str">
        <f>'P. Nova'!D75</f>
        <v>FORRO ACUSTICO ESTRUTURADO MONOLITICO DRYWALL C/CHAPA GESSO ACARTONADO PERFURADA/RANHURADA, LARG.1200MM, ESP.12,5MM, C/TRATAMENTO JUNTAS C/MASSA E FITA P/UNIFORMIZACAO SUPERFICIE DASCHAPAS GESSO ACARTONADO,CHAPAS APARAFUSADAS ESTRUTURA ACO GALVANIZADO,SUSPENSA POR PENDURAIS,C/PERIMETRO ESTRUTURA DO FORRO EXECUTADO C/CANTONEIRAS ACO GALVANIZADO.FORN.E COLOCACAO</v>
      </c>
      <c r="E482" s="12" t="str">
        <f>'P. Nova'!E75</f>
        <v>m²</v>
      </c>
      <c r="F482" s="14">
        <f>G485</f>
        <v>245.10499999999999</v>
      </c>
    </row>
    <row r="484" spans="2:7" x14ac:dyDescent="0.25">
      <c r="D484" s="12"/>
      <c r="E484" t="s">
        <v>61</v>
      </c>
      <c r="F484" t="s">
        <v>62</v>
      </c>
      <c r="G484" t="s">
        <v>29</v>
      </c>
    </row>
    <row r="485" spans="2:7" x14ac:dyDescent="0.25">
      <c r="C485" t="s">
        <v>591</v>
      </c>
      <c r="D485" s="14"/>
      <c r="E485" s="14">
        <v>23.5</v>
      </c>
      <c r="F485" s="14">
        <v>10.43</v>
      </c>
      <c r="G485">
        <f>E485*F485</f>
        <v>245.10499999999999</v>
      </c>
    </row>
    <row r="486" spans="2:7" x14ac:dyDescent="0.25">
      <c r="D486" s="14"/>
      <c r="E486" s="14"/>
      <c r="F486" s="14"/>
    </row>
    <row r="487" spans="2:7" x14ac:dyDescent="0.25">
      <c r="B487" s="12">
        <f>'P. Nova'!B76</f>
        <v>67</v>
      </c>
      <c r="C487" s="12" t="str">
        <f>'P. Nova'!C76</f>
        <v>11.035.0020-0</v>
      </c>
      <c r="D487" s="8" t="str">
        <f>'P. Nova'!D76</f>
        <v>FORMA PARA CONCRETO EM PERFIL DE ACO GALVANIZADO ESTRUTURAL TIPO "STEEL DECK",COM ESPESSURA DE 1,25MM,INCLUSIVE ACESSORIOS GALVANIZADOS E EXCLUSIVE TELA E CONCRETO.FORNECIMENTO E COLOCACAO</v>
      </c>
      <c r="E487" s="12" t="str">
        <f>'P. Nova'!E76</f>
        <v>m²</v>
      </c>
      <c r="F487" s="14">
        <f>G490</f>
        <v>245.10499999999999</v>
      </c>
    </row>
    <row r="489" spans="2:7" x14ac:dyDescent="0.25">
      <c r="D489" s="12"/>
      <c r="E489" t="s">
        <v>61</v>
      </c>
      <c r="F489" t="s">
        <v>62</v>
      </c>
      <c r="G489" t="s">
        <v>29</v>
      </c>
    </row>
    <row r="490" spans="2:7" x14ac:dyDescent="0.25">
      <c r="C490" t="s">
        <v>591</v>
      </c>
      <c r="D490" s="14"/>
      <c r="E490" s="14">
        <v>23.5</v>
      </c>
      <c r="F490" s="14">
        <v>10.43</v>
      </c>
      <c r="G490">
        <f>E490*F490</f>
        <v>245.10499999999999</v>
      </c>
    </row>
    <row r="491" spans="2:7" x14ac:dyDescent="0.25">
      <c r="D491" s="14"/>
      <c r="E491" s="14"/>
      <c r="F491" s="14"/>
    </row>
    <row r="492" spans="2:7" x14ac:dyDescent="0.25">
      <c r="B492" s="12">
        <f>'P. Nova'!B77</f>
        <v>68</v>
      </c>
      <c r="C492" s="12" t="str">
        <f>'P. Nova'!C77</f>
        <v>RV 15.80.0050 (/)</v>
      </c>
      <c r="D492" s="8" t="str">
        <f>'P. Nova'!D77</f>
        <v>Piso elevado Dimopiso ou similar, em placas de (60x60)cm com espessura de 40mm, estruturado por suportes telescopicos com altura de 20cm, revestido com Paviflex ou similar. Fornecimento e colocacao.</v>
      </c>
      <c r="E492" s="12" t="str">
        <f>'P. Nova'!E77</f>
        <v>m²</v>
      </c>
      <c r="F492" s="14">
        <f>G495</f>
        <v>245.10499999999999</v>
      </c>
    </row>
    <row r="494" spans="2:7" x14ac:dyDescent="0.25">
      <c r="D494" s="12"/>
      <c r="E494" t="s">
        <v>61</v>
      </c>
      <c r="F494" t="s">
        <v>62</v>
      </c>
      <c r="G494" t="s">
        <v>29</v>
      </c>
    </row>
    <row r="495" spans="2:7" x14ac:dyDescent="0.25">
      <c r="C495" t="s">
        <v>591</v>
      </c>
      <c r="D495" s="14"/>
      <c r="E495" s="14">
        <v>23.5</v>
      </c>
      <c r="F495" s="14">
        <v>10.43</v>
      </c>
      <c r="G495">
        <f>E495*F495</f>
        <v>245.10499999999999</v>
      </c>
    </row>
    <row r="496" spans="2:7" x14ac:dyDescent="0.25">
      <c r="D496" s="14"/>
      <c r="E496" s="14"/>
      <c r="F496" s="14"/>
    </row>
    <row r="497" spans="2:7" x14ac:dyDescent="0.25">
      <c r="B497" s="12">
        <f>'P. Nova'!B78</f>
        <v>69</v>
      </c>
      <c r="C497" s="12">
        <f>'P. Nova'!C78</f>
        <v>101746</v>
      </c>
      <c r="D497" s="12" t="str">
        <f>'P. Nova'!D78</f>
        <v>ASSOALHO DE MADEIRA. AF_09/2020</v>
      </c>
      <c r="E497" s="12" t="str">
        <f>'P. Nova'!E78</f>
        <v>m²</v>
      </c>
      <c r="F497" s="14">
        <f>G500</f>
        <v>245.10499999999999</v>
      </c>
    </row>
    <row r="499" spans="2:7" x14ac:dyDescent="0.25">
      <c r="D499" s="12"/>
      <c r="E499" t="s">
        <v>61</v>
      </c>
      <c r="F499" t="s">
        <v>62</v>
      </c>
      <c r="G499" t="s">
        <v>29</v>
      </c>
    </row>
    <row r="500" spans="2:7" x14ac:dyDescent="0.25">
      <c r="C500" t="s">
        <v>591</v>
      </c>
      <c r="D500" s="14"/>
      <c r="E500" s="14">
        <v>23.5</v>
      </c>
      <c r="F500" s="14">
        <v>10.43</v>
      </c>
      <c r="G500">
        <f>E500*F500</f>
        <v>245.10499999999999</v>
      </c>
    </row>
    <row r="501" spans="2:7" x14ac:dyDescent="0.25">
      <c r="D501" s="14"/>
      <c r="E501" s="14"/>
      <c r="F501" s="14"/>
    </row>
    <row r="502" spans="2:7" x14ac:dyDescent="0.25">
      <c r="B502" s="12">
        <f>'P. Nova'!B79</f>
        <v>70</v>
      </c>
      <c r="C502" s="12" t="str">
        <f>'P. Nova'!C79</f>
        <v>11.016.0040-0</v>
      </c>
      <c r="D502" s="8" t="str">
        <f>'P. Nova'!D79</f>
        <v>ESTRUTURA METALICA EM ACO ESPECIAL,RESISTENTE A CORROSAO(ACO USI-SAC),PARA OBRAS PREDIAIS DE ATE 04 PAVIMENTOS,PILARES, VIGAS PRINCIPAIS E SECUNDARIAS,ESCADAS,PATAMARES E CHAPAS DAS BASES DA FUNDACAO,PINTURA PROTETORA,CONSIDERANDO FORNECIMENTO DE TODOS OS MATERIAIS E MONTAGEM,EXCLUSIVE A LAJE DE CONCRETO</v>
      </c>
      <c r="E502" s="12" t="str">
        <f>'P. Nova'!E79</f>
        <v>m²</v>
      </c>
      <c r="F502" s="14">
        <f>G505</f>
        <v>245.10499999999999</v>
      </c>
    </row>
    <row r="504" spans="2:7" x14ac:dyDescent="0.25">
      <c r="D504" s="12"/>
      <c r="E504" t="s">
        <v>61</v>
      </c>
      <c r="F504" t="s">
        <v>62</v>
      </c>
      <c r="G504" t="s">
        <v>29</v>
      </c>
    </row>
    <row r="505" spans="2:7" x14ac:dyDescent="0.25">
      <c r="C505" t="s">
        <v>591</v>
      </c>
      <c r="D505" s="14"/>
      <c r="E505" s="14">
        <v>23.5</v>
      </c>
      <c r="F505" s="14">
        <v>10.43</v>
      </c>
      <c r="G505">
        <f>E505*F505</f>
        <v>245.10499999999999</v>
      </c>
    </row>
    <row r="506" spans="2:7" x14ac:dyDescent="0.25">
      <c r="D506" s="14"/>
      <c r="E506" s="14"/>
      <c r="F506" s="14"/>
    </row>
    <row r="507" spans="2:7" x14ac:dyDescent="0.25">
      <c r="B507" s="12">
        <f>'P. Nova'!B80</f>
        <v>71</v>
      </c>
      <c r="C507" s="12">
        <f>'P. Nova'!C80</f>
        <v>101010</v>
      </c>
      <c r="D507" s="8" t="str">
        <f>'P. Nova'!D80</f>
        <v>CARGA, MANOBRA E DESCARGA DE PERFIL METÁLICO EM CAMINHÃO CARROCERIA COM GUINDAUTO (MUNCK) 11,7 TM. AF_07/2020</v>
      </c>
      <c r="E507" s="12" t="str">
        <f>'P. Nova'!E80</f>
        <v>T</v>
      </c>
      <c r="F507" s="14">
        <f>G510</f>
        <v>13.353320399999999</v>
      </c>
    </row>
    <row r="509" spans="2:7" x14ac:dyDescent="0.25">
      <c r="D509" s="12" t="s">
        <v>43</v>
      </c>
      <c r="E509" t="s">
        <v>557</v>
      </c>
      <c r="F509" t="s">
        <v>602</v>
      </c>
      <c r="G509" t="s">
        <v>603</v>
      </c>
    </row>
    <row r="510" spans="2:7" x14ac:dyDescent="0.25">
      <c r="C510" t="s">
        <v>547</v>
      </c>
      <c r="D510" s="14">
        <f>F502</f>
        <v>245.10499999999999</v>
      </c>
      <c r="E510" s="14">
        <v>54.48</v>
      </c>
      <c r="F510">
        <f>E510*D510</f>
        <v>13353.320399999999</v>
      </c>
      <c r="G510">
        <f>F510/1000</f>
        <v>13.353320399999999</v>
      </c>
    </row>
    <row r="511" spans="2:7" x14ac:dyDescent="0.25">
      <c r="D511" s="14"/>
      <c r="E511" s="14"/>
      <c r="F511" s="14"/>
    </row>
    <row r="512" spans="2:7" ht="15.75" x14ac:dyDescent="0.25">
      <c r="B512" s="65" t="s">
        <v>135</v>
      </c>
      <c r="C512" s="65"/>
      <c r="D512" s="65"/>
      <c r="E512" s="65"/>
      <c r="F512" s="65"/>
      <c r="G512" s="65"/>
    </row>
    <row r="513" spans="2:6" x14ac:dyDescent="0.25">
      <c r="B513" s="12">
        <f>'P. Nova'!B83</f>
        <v>72</v>
      </c>
      <c r="C513" s="12" t="str">
        <f>'P. Nova'!C83</f>
        <v>14.002.0535-0</v>
      </c>
      <c r="D513" s="12" t="str">
        <f>'P. Nova'!D83</f>
        <v>Porta acustica de 70cm</v>
      </c>
      <c r="E513" s="12" t="str">
        <f>'P. Nova'!E83</f>
        <v>unid</v>
      </c>
      <c r="F513" s="13">
        <f>F519</f>
        <v>6</v>
      </c>
    </row>
    <row r="515" spans="2:6" x14ac:dyDescent="0.25">
      <c r="F515" t="s">
        <v>29</v>
      </c>
    </row>
    <row r="516" spans="2:6" x14ac:dyDescent="0.25">
      <c r="C516" t="s">
        <v>38</v>
      </c>
      <c r="F516" s="14">
        <v>1</v>
      </c>
    </row>
    <row r="517" spans="2:6" x14ac:dyDescent="0.25">
      <c r="C517" t="s">
        <v>145</v>
      </c>
      <c r="F517" s="14">
        <v>4</v>
      </c>
    </row>
    <row r="518" spans="2:6" x14ac:dyDescent="0.25">
      <c r="C518" t="s">
        <v>46</v>
      </c>
      <c r="F518" s="14">
        <v>1</v>
      </c>
    </row>
    <row r="519" spans="2:6" x14ac:dyDescent="0.25">
      <c r="F519" s="14">
        <f>SUM(F516:F518)</f>
        <v>6</v>
      </c>
    </row>
    <row r="521" spans="2:6" x14ac:dyDescent="0.25">
      <c r="B521" s="12">
        <f>'P. Nova'!B84</f>
        <v>73</v>
      </c>
      <c r="C521" s="12" t="str">
        <f>'P. Nova'!C84</f>
        <v>14.002.0537-0</v>
      </c>
      <c r="D521" s="12" t="str">
        <f>'P. Nova'!D84</f>
        <v>Porta acustica de 90cm</v>
      </c>
      <c r="E521" s="12" t="str">
        <f>'P. Nova'!E84</f>
        <v>unid</v>
      </c>
      <c r="F521" s="13">
        <f>F527</f>
        <v>6</v>
      </c>
    </row>
    <row r="523" spans="2:6" x14ac:dyDescent="0.25">
      <c r="F523" t="s">
        <v>29</v>
      </c>
    </row>
    <row r="524" spans="2:6" x14ac:dyDescent="0.25">
      <c r="C524" t="s">
        <v>144</v>
      </c>
      <c r="F524" s="14">
        <v>3</v>
      </c>
    </row>
    <row r="525" spans="2:6" x14ac:dyDescent="0.25">
      <c r="C525" t="s">
        <v>37</v>
      </c>
      <c r="F525" s="14">
        <v>1</v>
      </c>
    </row>
    <row r="526" spans="2:6" x14ac:dyDescent="0.25">
      <c r="C526" t="s">
        <v>561</v>
      </c>
      <c r="F526" s="14">
        <v>2</v>
      </c>
    </row>
    <row r="527" spans="2:6" x14ac:dyDescent="0.25">
      <c r="F527" s="14">
        <f>SUM(F524:F526)</f>
        <v>6</v>
      </c>
    </row>
    <row r="529" spans="2:6" x14ac:dyDescent="0.25">
      <c r="B529" s="12">
        <f>'P. Nova'!B85</f>
        <v>74</v>
      </c>
      <c r="C529" s="12" t="str">
        <f>'P. Nova'!C85</f>
        <v xml:space="preserve">14.002.0542-0	</v>
      </c>
      <c r="D529" s="12" t="str">
        <f>'P. Nova'!D85</f>
        <v>Porta acustica de 200cm</v>
      </c>
      <c r="E529" s="12" t="str">
        <f>'P. Nova'!E85</f>
        <v>unid</v>
      </c>
      <c r="F529" s="13">
        <f>F532</f>
        <v>4</v>
      </c>
    </row>
    <row r="531" spans="2:6" x14ac:dyDescent="0.25">
      <c r="F531" t="s">
        <v>29</v>
      </c>
    </row>
    <row r="532" spans="2:6" x14ac:dyDescent="0.25">
      <c r="C532" t="s">
        <v>568</v>
      </c>
      <c r="F532" s="14">
        <v>4</v>
      </c>
    </row>
    <row r="533" spans="2:6" x14ac:dyDescent="0.25">
      <c r="F533" s="14"/>
    </row>
    <row r="534" spans="2:6" x14ac:dyDescent="0.25">
      <c r="B534" s="12">
        <f>'P. Nova'!B86</f>
        <v>75</v>
      </c>
      <c r="C534" s="12" t="str">
        <f>'P. Nova'!C86</f>
        <v>90841 (SINAPI)</v>
      </c>
      <c r="D534" s="12" t="str">
        <f>'P. Nova'!D86</f>
        <v>Kit porta pronta madeira 60cm</v>
      </c>
      <c r="E534" s="12" t="str">
        <f>'P. Nova'!E86</f>
        <v>unid</v>
      </c>
      <c r="F534" s="13">
        <f>F539</f>
        <v>2</v>
      </c>
    </row>
    <row r="536" spans="2:6" x14ac:dyDescent="0.25">
      <c r="F536" t="s">
        <v>29</v>
      </c>
    </row>
    <row r="537" spans="2:6" x14ac:dyDescent="0.25">
      <c r="C537" t="s">
        <v>40</v>
      </c>
      <c r="F537" s="14">
        <v>1</v>
      </c>
    </row>
    <row r="538" spans="2:6" x14ac:dyDescent="0.25">
      <c r="C538" t="s">
        <v>146</v>
      </c>
      <c r="F538" s="14">
        <v>1</v>
      </c>
    </row>
    <row r="539" spans="2:6" x14ac:dyDescent="0.25">
      <c r="F539" s="14">
        <f>SUM(F537:F538)</f>
        <v>2</v>
      </c>
    </row>
    <row r="541" spans="2:6" x14ac:dyDescent="0.25">
      <c r="B541" s="12">
        <f>'P. Nova'!B87</f>
        <v>76</v>
      </c>
      <c r="C541" s="12" t="str">
        <f>'P. Nova'!C87</f>
        <v>90842 (SINAPI)</v>
      </c>
      <c r="D541" s="12" t="str">
        <f>'P. Nova'!D87</f>
        <v>Kit porta pronta madeira 70cm</v>
      </c>
      <c r="E541" s="12" t="str">
        <f>'P. Nova'!E87</f>
        <v>unid</v>
      </c>
      <c r="F541" s="13">
        <f>F547</f>
        <v>3</v>
      </c>
    </row>
    <row r="543" spans="2:6" x14ac:dyDescent="0.25">
      <c r="F543" t="s">
        <v>29</v>
      </c>
    </row>
    <row r="544" spans="2:6" x14ac:dyDescent="0.25">
      <c r="C544" t="s">
        <v>470</v>
      </c>
      <c r="F544" s="14">
        <v>1</v>
      </c>
    </row>
    <row r="545" spans="2:6" x14ac:dyDescent="0.25">
      <c r="C545" t="s">
        <v>81</v>
      </c>
      <c r="F545" s="14">
        <v>1</v>
      </c>
    </row>
    <row r="546" spans="2:6" x14ac:dyDescent="0.25">
      <c r="C546" t="s">
        <v>563</v>
      </c>
      <c r="F546" s="14">
        <v>1</v>
      </c>
    </row>
    <row r="547" spans="2:6" x14ac:dyDescent="0.25">
      <c r="F547" s="14">
        <f>SUM(F544:F546)</f>
        <v>3</v>
      </c>
    </row>
    <row r="549" spans="2:6" x14ac:dyDescent="0.25">
      <c r="B549" s="12">
        <f>'P. Nova'!B88</f>
        <v>77</v>
      </c>
      <c r="C549" s="12" t="str">
        <f>'P. Nova'!C88</f>
        <v>90843 (SINAPI)</v>
      </c>
      <c r="D549" s="12" t="str">
        <f>'P. Nova'!D88</f>
        <v>Kit porta pronta madeira 80cm</v>
      </c>
      <c r="E549" s="12" t="str">
        <f>'P. Nova'!E88</f>
        <v>unid</v>
      </c>
      <c r="F549" s="13">
        <f>F556</f>
        <v>8</v>
      </c>
    </row>
    <row r="551" spans="2:6" x14ac:dyDescent="0.25">
      <c r="F551" t="s">
        <v>29</v>
      </c>
    </row>
    <row r="552" spans="2:6" x14ac:dyDescent="0.25">
      <c r="C552" t="s">
        <v>562</v>
      </c>
      <c r="F552" s="14">
        <v>1</v>
      </c>
    </row>
    <row r="553" spans="2:6" x14ac:dyDescent="0.25">
      <c r="C553" t="s">
        <v>80</v>
      </c>
      <c r="F553" s="14">
        <v>1</v>
      </c>
    </row>
    <row r="554" spans="2:6" x14ac:dyDescent="0.25">
      <c r="C554" t="s">
        <v>39</v>
      </c>
      <c r="F554" s="14">
        <v>1</v>
      </c>
    </row>
    <row r="555" spans="2:6" x14ac:dyDescent="0.25">
      <c r="C555" t="s">
        <v>88</v>
      </c>
      <c r="F555" s="14">
        <v>5</v>
      </c>
    </row>
    <row r="556" spans="2:6" x14ac:dyDescent="0.25">
      <c r="F556" s="14">
        <f>SUM(F552:F555)</f>
        <v>8</v>
      </c>
    </row>
    <row r="558" spans="2:6" x14ac:dyDescent="0.25">
      <c r="B558" s="12">
        <f>'P. Nova'!B89</f>
        <v>78</v>
      </c>
      <c r="C558" s="12" t="str">
        <f>'P. Nova'!C89</f>
        <v>90844 (SINAPI)</v>
      </c>
      <c r="D558" s="12" t="str">
        <f>'P. Nova'!D89</f>
        <v>Kit porta pronta madeira 90cm</v>
      </c>
      <c r="E558" s="12" t="str">
        <f>'P. Nova'!E89</f>
        <v>unid</v>
      </c>
      <c r="F558" s="13">
        <f>F561</f>
        <v>1</v>
      </c>
    </row>
    <row r="560" spans="2:6" x14ac:dyDescent="0.25">
      <c r="F560" t="s">
        <v>29</v>
      </c>
    </row>
    <row r="561" spans="2:7" x14ac:dyDescent="0.25">
      <c r="C561" t="s">
        <v>64</v>
      </c>
      <c r="F561" s="14">
        <v>1</v>
      </c>
    </row>
    <row r="562" spans="2:7" x14ac:dyDescent="0.25">
      <c r="F562" s="14"/>
    </row>
    <row r="563" spans="2:7" x14ac:dyDescent="0.25">
      <c r="B563" s="12">
        <f>'P. Nova'!B90</f>
        <v>79</v>
      </c>
      <c r="C563" s="12" t="str">
        <f>'P. Nova'!C90</f>
        <v>14.002.0102-0</v>
      </c>
      <c r="D563" s="12" t="str">
        <f>'P. Nova'!D90</f>
        <v>Portão de correr metálico</v>
      </c>
      <c r="E563" s="12" t="str">
        <f>'P. Nova'!E90</f>
        <v>m²</v>
      </c>
      <c r="F563" s="13">
        <f>G571</f>
        <v>44.150000000000006</v>
      </c>
    </row>
    <row r="565" spans="2:7" x14ac:dyDescent="0.25">
      <c r="E565" t="s">
        <v>62</v>
      </c>
      <c r="F565" t="s">
        <v>55</v>
      </c>
      <c r="G565" t="s">
        <v>29</v>
      </c>
    </row>
    <row r="566" spans="2:7" x14ac:dyDescent="0.25">
      <c r="C566" t="s">
        <v>293</v>
      </c>
      <c r="E566" s="13">
        <v>3.6</v>
      </c>
      <c r="F566" s="14">
        <v>3</v>
      </c>
      <c r="G566" s="14">
        <f>TRUNC(E566*F566,2)</f>
        <v>10.8</v>
      </c>
    </row>
    <row r="567" spans="2:7" x14ac:dyDescent="0.25">
      <c r="C567" t="s">
        <v>569</v>
      </c>
      <c r="E567" s="13">
        <v>1.6</v>
      </c>
      <c r="F567" s="14">
        <v>3</v>
      </c>
      <c r="G567" s="14">
        <f>TRUNC(E567*F567,2)</f>
        <v>4.8</v>
      </c>
    </row>
    <row r="568" spans="2:7" x14ac:dyDescent="0.25">
      <c r="C568" t="s">
        <v>33</v>
      </c>
      <c r="E568" s="13">
        <v>1.7</v>
      </c>
      <c r="F568" s="14">
        <v>3</v>
      </c>
      <c r="G568" s="14">
        <f>TRUNC(E568*F568,2)</f>
        <v>5.0999999999999996</v>
      </c>
    </row>
    <row r="569" spans="2:7" x14ac:dyDescent="0.25">
      <c r="C569" t="s">
        <v>294</v>
      </c>
      <c r="E569" s="13">
        <v>1.4</v>
      </c>
      <c r="F569" s="14">
        <v>3</v>
      </c>
      <c r="G569" s="14">
        <f>TRUNC(E569*F569,2)</f>
        <v>4.2</v>
      </c>
    </row>
    <row r="570" spans="2:7" x14ac:dyDescent="0.25">
      <c r="C570" t="s">
        <v>469</v>
      </c>
      <c r="E570" s="13">
        <v>5.5</v>
      </c>
      <c r="F570" s="14">
        <v>3.5</v>
      </c>
      <c r="G570" s="14">
        <f>TRUNC(E570*F570,2)</f>
        <v>19.25</v>
      </c>
    </row>
    <row r="571" spans="2:7" x14ac:dyDescent="0.25">
      <c r="F571" s="14"/>
      <c r="G571" s="13">
        <f>SUM(G566:G570)</f>
        <v>44.150000000000006</v>
      </c>
    </row>
    <row r="572" spans="2:7" x14ac:dyDescent="0.25">
      <c r="F572" s="14"/>
      <c r="G572" s="13"/>
    </row>
    <row r="573" spans="2:7" x14ac:dyDescent="0.25">
      <c r="B573" s="12">
        <f>'P. Nova'!B91</f>
        <v>80</v>
      </c>
      <c r="C573" s="12" t="str">
        <f>'P. Nova'!C91</f>
        <v>ES 15.05.0150 (/)</v>
      </c>
      <c r="D573" s="8" t="str">
        <f>'P. Nova'!D91</f>
        <v>Porta de aluminio anodizado natural, perfil serie 25, em veneziana. Fornecimento e instalacao.</v>
      </c>
      <c r="E573" s="12" t="str">
        <f>'P. Nova'!E91</f>
        <v>m²</v>
      </c>
      <c r="F573" s="13">
        <f>F576</f>
        <v>9.6000000000000014</v>
      </c>
      <c r="G573" s="13"/>
    </row>
    <row r="574" spans="2:7" x14ac:dyDescent="0.25">
      <c r="G574" s="13"/>
    </row>
    <row r="575" spans="2:7" x14ac:dyDescent="0.25">
      <c r="F575" t="s">
        <v>29</v>
      </c>
      <c r="G575" s="13"/>
    </row>
    <row r="576" spans="2:7" x14ac:dyDescent="0.25">
      <c r="C576" t="s">
        <v>457</v>
      </c>
      <c r="F576" s="14">
        <f>6*0.8*2</f>
        <v>9.6000000000000014</v>
      </c>
      <c r="G576" s="13"/>
    </row>
    <row r="577" spans="2:7" x14ac:dyDescent="0.25">
      <c r="F577" s="14"/>
      <c r="G577" s="13"/>
    </row>
    <row r="578" spans="2:7" x14ac:dyDescent="0.25">
      <c r="B578" s="12">
        <f>'P. Nova'!B92</f>
        <v>81</v>
      </c>
      <c r="C578" s="12">
        <f>'P. Nova'!C92</f>
        <v>100674</v>
      </c>
      <c r="D578" s="8" t="str">
        <f>'P. Nova'!D92</f>
        <v>JANELA FIXA DE ALUMÍNIO PARA VIDRO, COM VIDRO, BATENTE E FERRAGENS. EXCLUSIVE ACABAMENTO, ALIZAR E CONTRAMARCO. FORNECIMENTO E INSTALAÇÃO. AF_12/2019</v>
      </c>
      <c r="E578" s="12" t="str">
        <f>'P. Nova'!E92</f>
        <v>m²</v>
      </c>
      <c r="F578" s="13">
        <f>F583</f>
        <v>9.2420000000000009</v>
      </c>
      <c r="G578" s="13"/>
    </row>
    <row r="579" spans="2:7" x14ac:dyDescent="0.25">
      <c r="G579" s="13"/>
    </row>
    <row r="580" spans="2:7" x14ac:dyDescent="0.25">
      <c r="E580" t="s">
        <v>462</v>
      </c>
      <c r="F580" t="s">
        <v>29</v>
      </c>
      <c r="G580" s="13"/>
    </row>
    <row r="581" spans="2:7" x14ac:dyDescent="0.25">
      <c r="C581" t="s">
        <v>461</v>
      </c>
      <c r="E581">
        <f>0.7*1.1</f>
        <v>0.77</v>
      </c>
      <c r="F581" s="14">
        <f>5*E581</f>
        <v>3.85</v>
      </c>
      <c r="G581" s="13"/>
    </row>
    <row r="582" spans="2:7" x14ac:dyDescent="0.25">
      <c r="C582" t="s">
        <v>493</v>
      </c>
      <c r="F582" s="14">
        <f>(0.45*1.6)+(0.92*1.6)+(1.6*2)</f>
        <v>5.3920000000000003</v>
      </c>
      <c r="G582" s="13"/>
    </row>
    <row r="583" spans="2:7" x14ac:dyDescent="0.25">
      <c r="F583" s="14">
        <f>SUM(F581:F582)</f>
        <v>9.2420000000000009</v>
      </c>
      <c r="G583" s="13"/>
    </row>
    <row r="584" spans="2:7" x14ac:dyDescent="0.25">
      <c r="F584" s="14"/>
      <c r="G584" s="13"/>
    </row>
    <row r="585" spans="2:7" x14ac:dyDescent="0.25">
      <c r="B585" s="12">
        <f>'P. Nova'!B93</f>
        <v>82</v>
      </c>
      <c r="C585" s="12" t="str">
        <f>'P. Nova'!C93</f>
        <v>14.004.0100-0</v>
      </c>
      <c r="D585" s="8" t="str">
        <f>'P. Nova'!D93</f>
        <v>ESPELHO DE CRISTAL,4MM DE ESPESSURA.COM MOLDURA DE MADEIRA.FORNECIMENTO E COLOCACAO</v>
      </c>
      <c r="E585" s="12" t="str">
        <f>'P. Nova'!E93</f>
        <v>m²</v>
      </c>
      <c r="F585" s="13">
        <f>F588</f>
        <v>6.8</v>
      </c>
      <c r="G585" s="13"/>
    </row>
    <row r="586" spans="2:7" x14ac:dyDescent="0.25">
      <c r="G586" s="13"/>
    </row>
    <row r="587" spans="2:7" x14ac:dyDescent="0.25">
      <c r="F587" t="s">
        <v>29</v>
      </c>
      <c r="G587" s="13"/>
    </row>
    <row r="588" spans="2:7" x14ac:dyDescent="0.25">
      <c r="C588" t="s">
        <v>492</v>
      </c>
      <c r="F588" s="14">
        <f>1+2.5+2.5+0.8</f>
        <v>6.8</v>
      </c>
    </row>
    <row r="589" spans="2:7" x14ac:dyDescent="0.25">
      <c r="F589" s="14"/>
    </row>
    <row r="590" spans="2:7" x14ac:dyDescent="0.25">
      <c r="B590" s="12">
        <f>'P. Nova'!B94</f>
        <v>83</v>
      </c>
      <c r="C590" s="12" t="str">
        <f>'P. Nova'!C94</f>
        <v>14.001.0001-0</v>
      </c>
      <c r="D590" s="8" t="str">
        <f>'P. Nova'!D94</f>
        <v>JANELA DE PVC BRANCO,CONFORME ABNT NBR 16851,DE CORRER,DUAS FOLHAS MOVEIS,DE (1,20X1,20)M,EXCLUSIVE VIDROS,INCLUSIVE FERRAGENS E ACESSORIOS.FORNECIMENTO E COLOCACAO</v>
      </c>
      <c r="E590" s="12" t="str">
        <f>'P. Nova'!E94</f>
        <v>unid</v>
      </c>
      <c r="F590" s="13">
        <f>F593</f>
        <v>3</v>
      </c>
    </row>
    <row r="592" spans="2:7" x14ac:dyDescent="0.25">
      <c r="F592" t="s">
        <v>29</v>
      </c>
    </row>
    <row r="593" spans="2:6" x14ac:dyDescent="0.25">
      <c r="C593" t="s">
        <v>534</v>
      </c>
      <c r="F593" s="14">
        <v>3</v>
      </c>
    </row>
    <row r="594" spans="2:6" x14ac:dyDescent="0.25">
      <c r="F594" s="14"/>
    </row>
    <row r="595" spans="2:6" x14ac:dyDescent="0.25">
      <c r="B595" s="12">
        <f>'P. Nova'!B95</f>
        <v>84</v>
      </c>
      <c r="C595" s="12" t="str">
        <f>'P. Nova'!C95</f>
        <v>14.001.0006-0</v>
      </c>
      <c r="D595" s="8" t="str">
        <f>'P. Nova'!D95</f>
        <v>JANELA DE PVC BRANCO,CONFORME ABNT NBR 16851,DE CORRER,QUATRO FOLHAS,SENDO DUAS FIXAS E DUAS MOVEIS,DE (2,00X1,20)M,EXCLUSIVE VIDROS,INCLUSIVE FERRAGENS E ACESSORIOS.FORNECIMENTO ECOLOCACAO.</v>
      </c>
      <c r="E595" s="12" t="str">
        <f>'P. Nova'!E95</f>
        <v>unid</v>
      </c>
      <c r="F595" s="13">
        <f>F598</f>
        <v>1</v>
      </c>
    </row>
    <row r="597" spans="2:6" x14ac:dyDescent="0.25">
      <c r="F597" t="s">
        <v>29</v>
      </c>
    </row>
    <row r="598" spans="2:6" x14ac:dyDescent="0.25">
      <c r="C598" t="s">
        <v>535</v>
      </c>
      <c r="F598" s="14">
        <v>1</v>
      </c>
    </row>
    <row r="599" spans="2:6" x14ac:dyDescent="0.25">
      <c r="F599" s="14"/>
    </row>
    <row r="600" spans="2:6" x14ac:dyDescent="0.25">
      <c r="B600" s="12">
        <f>'P. Nova'!B96</f>
        <v>85</v>
      </c>
      <c r="C600" s="12" t="str">
        <f>'P. Nova'!C96</f>
        <v>14.004.0025-0</v>
      </c>
      <c r="D600" s="8" t="str">
        <f>'P. Nova'!D96</f>
        <v>VIDRO PLANO TRANSPARENTE,COMUM,DE 6MM DE ESPESSURA.FORNECIMENTO E COLOCACAO</v>
      </c>
      <c r="E600" s="12" t="str">
        <f>'P. Nova'!E96</f>
        <v>m²</v>
      </c>
      <c r="F600" s="13">
        <f>F603</f>
        <v>6.7200000000000006</v>
      </c>
    </row>
    <row r="602" spans="2:6" x14ac:dyDescent="0.25">
      <c r="F602" t="s">
        <v>29</v>
      </c>
    </row>
    <row r="603" spans="2:6" x14ac:dyDescent="0.25">
      <c r="C603" t="s">
        <v>536</v>
      </c>
      <c r="F603" s="14">
        <f>(F595*2.4)+(F590*1.44)</f>
        <v>6.7200000000000006</v>
      </c>
    </row>
    <row r="604" spans="2:6" x14ac:dyDescent="0.25">
      <c r="F604" s="14"/>
    </row>
    <row r="605" spans="2:6" x14ac:dyDescent="0.25">
      <c r="B605" s="12">
        <f>'P. Nova'!B97</f>
        <v>86</v>
      </c>
      <c r="C605" s="12" t="str">
        <f>'P. Nova'!C97</f>
        <v>14.007.0505-0</v>
      </c>
      <c r="D605" s="8" t="str">
        <f>'P. Nova'!D97</f>
        <v>BARRA ANTIPANICO,CEGA NO LADO OPOSTO E DE ACIONAMENTO RADIAL TIPO PUSH P/PORTA MADEIRA OU METAL,DUPLA(2 FOLHAS),CONFECCIONADA LIGA DE METAIS,CERTIFICADA NBR 11785,COMPOSTA 4 SUPORTES TRAVAMENTO HORIZONTAL,2 BARRAS ACIONADORAS 1,00MM,1 HASTEVERTICAL E 2 MECANISMOS TRAVAMENTO VERTICAL(CREMONA).INDICADA P/PORTAS ATE 220X100CM(AXL),EXCL.FECHADURA EXT.FORN.INST.</v>
      </c>
      <c r="E605" s="12" t="str">
        <f>'P. Nova'!E97</f>
        <v>unid</v>
      </c>
      <c r="F605" s="13">
        <f>F608</f>
        <v>8</v>
      </c>
    </row>
    <row r="607" spans="2:6" x14ac:dyDescent="0.25">
      <c r="F607" t="s">
        <v>29</v>
      </c>
    </row>
    <row r="608" spans="2:6" x14ac:dyDescent="0.25">
      <c r="C608" t="s">
        <v>595</v>
      </c>
      <c r="F608" s="14">
        <f>2*4</f>
        <v>8</v>
      </c>
    </row>
    <row r="609" spans="2:7" x14ac:dyDescent="0.25">
      <c r="F609" s="14"/>
    </row>
    <row r="610" spans="2:7" ht="15.75" x14ac:dyDescent="0.25">
      <c r="B610" s="65" t="s">
        <v>152</v>
      </c>
      <c r="C610" s="65"/>
      <c r="D610" s="65"/>
      <c r="E610" s="65"/>
      <c r="F610" s="65"/>
      <c r="G610" s="65"/>
    </row>
    <row r="611" spans="2:7" x14ac:dyDescent="0.25">
      <c r="B611" s="12">
        <f>'P. Nova'!B100</f>
        <v>87</v>
      </c>
      <c r="C611" s="12">
        <f>'P. Nova'!C100</f>
        <v>101966</v>
      </c>
      <c r="D611" s="12" t="str">
        <f>'P. Nova'!D100</f>
        <v>CHAPIM SOBRE MUROS LINEARES, EM GRANITO</v>
      </c>
      <c r="E611" s="12" t="str">
        <f>'P. Nova'!E100</f>
        <v>m</v>
      </c>
      <c r="F611" s="13">
        <f>G616</f>
        <v>69.28</v>
      </c>
    </row>
    <row r="612" spans="2:7" x14ac:dyDescent="0.25">
      <c r="B612" s="12"/>
      <c r="C612" s="12"/>
      <c r="D612" s="12"/>
      <c r="E612" s="12"/>
      <c r="F612" s="13"/>
    </row>
    <row r="613" spans="2:7" x14ac:dyDescent="0.25">
      <c r="B613" s="12"/>
      <c r="C613" s="12"/>
      <c r="D613" s="12"/>
      <c r="E613" s="12"/>
      <c r="G613" s="13" t="s">
        <v>29</v>
      </c>
    </row>
    <row r="614" spans="2:7" x14ac:dyDescent="0.25">
      <c r="B614" s="12"/>
      <c r="C614" t="s">
        <v>571</v>
      </c>
      <c r="D614" s="12"/>
      <c r="E614" s="12"/>
      <c r="G614" s="13">
        <v>44.76</v>
      </c>
    </row>
    <row r="615" spans="2:7" x14ac:dyDescent="0.25">
      <c r="C615" t="s">
        <v>572</v>
      </c>
      <c r="G615">
        <v>24.52</v>
      </c>
    </row>
    <row r="616" spans="2:7" x14ac:dyDescent="0.25">
      <c r="G616" s="13">
        <f>SUM(G614:G615)</f>
        <v>69.28</v>
      </c>
    </row>
    <row r="617" spans="2:7" x14ac:dyDescent="0.25">
      <c r="F617" s="13"/>
    </row>
    <row r="618" spans="2:7" x14ac:dyDescent="0.25">
      <c r="B618" s="12">
        <f>'P. Nova'!B101</f>
        <v>88</v>
      </c>
      <c r="C618" s="12" t="str">
        <f>'P. Nova'!C101</f>
        <v>11.016.0005-0</v>
      </c>
      <c r="D618" s="12" t="str">
        <f>'P. Nova'!D101</f>
        <v>Estrutura para telhados</v>
      </c>
      <c r="E618" s="12" t="str">
        <f>'P. Nova'!E101</f>
        <v>m²</v>
      </c>
      <c r="F618" s="13">
        <f>G626</f>
        <v>163.86070000000001</v>
      </c>
    </row>
    <row r="619" spans="2:7" x14ac:dyDescent="0.25">
      <c r="B619" s="12"/>
      <c r="C619" s="12"/>
      <c r="D619" s="12"/>
      <c r="E619" s="12"/>
      <c r="F619" s="13"/>
    </row>
    <row r="620" spans="2:7" x14ac:dyDescent="0.25">
      <c r="B620" s="12"/>
      <c r="C620" s="12"/>
      <c r="D620" s="12"/>
      <c r="E620" s="12"/>
      <c r="G620" s="13" t="s">
        <v>29</v>
      </c>
    </row>
    <row r="621" spans="2:7" x14ac:dyDescent="0.25">
      <c r="B621" s="12"/>
      <c r="C621" t="s">
        <v>31</v>
      </c>
      <c r="D621" s="12"/>
      <c r="E621" s="12"/>
      <c r="G621" s="14">
        <f>3.1*2.87</f>
        <v>8.8970000000000002</v>
      </c>
    </row>
    <row r="622" spans="2:7" x14ac:dyDescent="0.25">
      <c r="B622" s="12"/>
      <c r="C622" t="s">
        <v>262</v>
      </c>
      <c r="D622" s="12"/>
      <c r="E622" s="12"/>
      <c r="G622" s="14">
        <f>1.67*13.18</f>
        <v>22.0106</v>
      </c>
    </row>
    <row r="623" spans="2:7" x14ac:dyDescent="0.25">
      <c r="B623" s="12"/>
      <c r="C623" t="s">
        <v>333</v>
      </c>
      <c r="D623" s="12"/>
      <c r="E623" s="12"/>
      <c r="G623" s="14">
        <f>(7.74*4.58)+(5.55*8.89)+(3.3*2.34)</f>
        <v>92.5107</v>
      </c>
    </row>
    <row r="624" spans="2:7" x14ac:dyDescent="0.25">
      <c r="B624" s="12"/>
      <c r="C624" t="s">
        <v>334</v>
      </c>
      <c r="D624" s="12"/>
      <c r="E624" s="12"/>
      <c r="G624" s="14">
        <f>4.74*6.76</f>
        <v>32.042400000000001</v>
      </c>
    </row>
    <row r="625" spans="2:7" x14ac:dyDescent="0.25">
      <c r="B625" s="12"/>
      <c r="C625" t="s">
        <v>696</v>
      </c>
      <c r="D625" s="12"/>
      <c r="E625" s="12"/>
      <c r="G625" s="14">
        <f>7*1.2</f>
        <v>8.4</v>
      </c>
    </row>
    <row r="626" spans="2:7" x14ac:dyDescent="0.25">
      <c r="B626" s="12"/>
      <c r="D626" s="12"/>
      <c r="E626" s="12"/>
      <c r="G626" s="14">
        <f>SUM(G621:G625)</f>
        <v>163.86070000000001</v>
      </c>
    </row>
    <row r="628" spans="2:7" x14ac:dyDescent="0.25">
      <c r="B628" s="12">
        <f>'P. Nova'!B102</f>
        <v>89</v>
      </c>
      <c r="C628" s="12" t="str">
        <f>'P. Nova'!C102</f>
        <v>16.005.0007-0</v>
      </c>
      <c r="D628" s="12" t="str">
        <f>'P. Nova'!D102</f>
        <v>Telha para telhados</v>
      </c>
      <c r="E628" s="12" t="str">
        <f>'P. Nova'!E102</f>
        <v>m²</v>
      </c>
      <c r="F628" s="13">
        <f>G636</f>
        <v>163.86070000000001</v>
      </c>
    </row>
    <row r="629" spans="2:7" x14ac:dyDescent="0.25">
      <c r="B629" s="12"/>
      <c r="C629" s="12"/>
      <c r="D629" s="12"/>
      <c r="E629" s="12"/>
      <c r="F629" s="13"/>
    </row>
    <row r="630" spans="2:7" x14ac:dyDescent="0.25">
      <c r="B630" s="12"/>
      <c r="C630" s="12"/>
      <c r="D630" s="12"/>
      <c r="E630" s="12"/>
      <c r="G630" s="13" t="s">
        <v>29</v>
      </c>
    </row>
    <row r="631" spans="2:7" x14ac:dyDescent="0.25">
      <c r="B631" s="12"/>
      <c r="C631" t="s">
        <v>31</v>
      </c>
      <c r="D631" s="12"/>
      <c r="E631" s="12"/>
      <c r="G631" s="14">
        <f>3.1*2.87</f>
        <v>8.8970000000000002</v>
      </c>
    </row>
    <row r="632" spans="2:7" x14ac:dyDescent="0.25">
      <c r="B632" s="12"/>
      <c r="C632" t="s">
        <v>262</v>
      </c>
      <c r="D632" s="12"/>
      <c r="E632" s="12"/>
      <c r="G632" s="14">
        <f>1.67*13.18</f>
        <v>22.0106</v>
      </c>
    </row>
    <row r="633" spans="2:7" x14ac:dyDescent="0.25">
      <c r="B633" s="12"/>
      <c r="C633" t="s">
        <v>333</v>
      </c>
      <c r="D633" s="12"/>
      <c r="E633" s="12"/>
      <c r="G633" s="14">
        <f>(7.74*4.58)+(5.55*8.89)+(3.3*2.34)</f>
        <v>92.5107</v>
      </c>
    </row>
    <row r="634" spans="2:7" x14ac:dyDescent="0.25">
      <c r="B634" s="12"/>
      <c r="C634" t="s">
        <v>334</v>
      </c>
      <c r="D634" s="12"/>
      <c r="E634" s="12"/>
      <c r="G634" s="14">
        <f>4.74*6.76</f>
        <v>32.042400000000001</v>
      </c>
    </row>
    <row r="635" spans="2:7" x14ac:dyDescent="0.25">
      <c r="B635" s="12"/>
      <c r="C635" t="s">
        <v>696</v>
      </c>
      <c r="D635" s="12"/>
      <c r="E635" s="12"/>
      <c r="G635" s="14">
        <f>7*1.2</f>
        <v>8.4</v>
      </c>
    </row>
    <row r="636" spans="2:7" x14ac:dyDescent="0.25">
      <c r="B636" s="12"/>
      <c r="D636" s="12"/>
      <c r="E636" s="12"/>
      <c r="G636" s="14">
        <f>SUM(G631:G635)</f>
        <v>163.86070000000001</v>
      </c>
    </row>
    <row r="637" spans="2:7" x14ac:dyDescent="0.25">
      <c r="B637" s="12"/>
      <c r="D637" s="12"/>
      <c r="E637" s="12"/>
      <c r="G637" s="14"/>
    </row>
    <row r="638" spans="2:7" x14ac:dyDescent="0.25">
      <c r="B638" s="12">
        <f>'P. Nova'!B103</f>
        <v>90</v>
      </c>
      <c r="C638" s="12" t="str">
        <f>'P. Nova'!C103</f>
        <v>16.005.0018-0</v>
      </c>
      <c r="D638" s="12" t="str">
        <f>'P. Nova'!D103</f>
        <v>Calha galvalume - Desenv 1m</v>
      </c>
      <c r="E638" s="12" t="str">
        <f>'P. Nova'!E103</f>
        <v>m</v>
      </c>
      <c r="F638" s="13">
        <f>G641</f>
        <v>60</v>
      </c>
    </row>
    <row r="639" spans="2:7" x14ac:dyDescent="0.25">
      <c r="B639" s="12"/>
      <c r="C639" s="12"/>
      <c r="D639" s="12"/>
      <c r="E639" s="12"/>
      <c r="F639" s="13"/>
    </row>
    <row r="640" spans="2:7" x14ac:dyDescent="0.25">
      <c r="B640" s="12"/>
      <c r="C640" s="12"/>
      <c r="D640" s="12"/>
      <c r="E640" s="12"/>
      <c r="G640" s="13" t="s">
        <v>29</v>
      </c>
    </row>
    <row r="641" spans="2:7" x14ac:dyDescent="0.25">
      <c r="B641" s="12"/>
      <c r="C641" t="s">
        <v>30</v>
      </c>
      <c r="D641" s="12"/>
      <c r="E641" s="12"/>
      <c r="G641" s="14">
        <v>60</v>
      </c>
    </row>
    <row r="642" spans="2:7" x14ac:dyDescent="0.25">
      <c r="B642" s="12"/>
      <c r="D642" s="12"/>
      <c r="E642" s="12"/>
      <c r="G642" s="13"/>
    </row>
    <row r="643" spans="2:7" x14ac:dyDescent="0.25">
      <c r="B643" s="12">
        <f>'P. Nova'!B104</f>
        <v>91</v>
      </c>
      <c r="C643" s="12" t="str">
        <f>'P. Nova'!C104</f>
        <v>16.005.0015-0</v>
      </c>
      <c r="D643" s="12" t="str">
        <f>'P. Nova'!D104</f>
        <v>Calha galvalume - Desenv 0,5m</v>
      </c>
      <c r="E643" s="12" t="str">
        <f>'P. Nova'!E104</f>
        <v>m</v>
      </c>
      <c r="F643" s="13">
        <f>G651</f>
        <v>49.970000000000006</v>
      </c>
    </row>
    <row r="644" spans="2:7" x14ac:dyDescent="0.25">
      <c r="B644" s="12"/>
      <c r="C644" s="12"/>
      <c r="D644" s="12"/>
      <c r="E644" s="12"/>
      <c r="F644" s="13"/>
    </row>
    <row r="645" spans="2:7" x14ac:dyDescent="0.25">
      <c r="B645" s="12"/>
      <c r="C645" s="12"/>
      <c r="D645" s="12"/>
      <c r="E645" s="12"/>
      <c r="G645" s="13" t="s">
        <v>29</v>
      </c>
    </row>
    <row r="646" spans="2:7" x14ac:dyDescent="0.25">
      <c r="B646" s="12"/>
      <c r="C646" t="s">
        <v>232</v>
      </c>
      <c r="D646" s="12"/>
      <c r="E646" s="12"/>
      <c r="G646" s="14">
        <f>8.89+7.74+3.3</f>
        <v>19.930000000000003</v>
      </c>
    </row>
    <row r="647" spans="2:7" x14ac:dyDescent="0.25">
      <c r="B647" s="12"/>
      <c r="C647" t="s">
        <v>90</v>
      </c>
      <c r="D647" s="12"/>
      <c r="E647" s="12"/>
      <c r="G647" s="14">
        <f>6.76</f>
        <v>6.76</v>
      </c>
    </row>
    <row r="648" spans="2:7" x14ac:dyDescent="0.25">
      <c r="B648" s="12"/>
      <c r="C648" t="s">
        <v>262</v>
      </c>
      <c r="D648" s="12"/>
      <c r="E648" s="12"/>
      <c r="G648" s="14">
        <v>13.18</v>
      </c>
    </row>
    <row r="649" spans="2:7" x14ac:dyDescent="0.25">
      <c r="B649" s="12"/>
      <c r="C649" t="s">
        <v>31</v>
      </c>
      <c r="D649" s="12"/>
      <c r="E649" s="12"/>
      <c r="G649" s="14">
        <f>3.1</f>
        <v>3.1</v>
      </c>
    </row>
    <row r="650" spans="2:7" x14ac:dyDescent="0.25">
      <c r="B650" s="12"/>
      <c r="C650" t="s">
        <v>696</v>
      </c>
      <c r="D650" s="12"/>
      <c r="E650" s="12"/>
      <c r="G650" s="14">
        <v>7</v>
      </c>
    </row>
    <row r="651" spans="2:7" x14ac:dyDescent="0.25">
      <c r="B651" s="12"/>
      <c r="D651" s="12"/>
      <c r="E651" s="12"/>
      <c r="G651" s="14">
        <f>SUM(G646:G650)</f>
        <v>49.970000000000006</v>
      </c>
    </row>
    <row r="652" spans="2:7" x14ac:dyDescent="0.25">
      <c r="B652" s="12"/>
      <c r="D652" s="12"/>
      <c r="E652" s="12"/>
      <c r="G652" s="14"/>
    </row>
    <row r="653" spans="2:7" x14ac:dyDescent="0.25">
      <c r="B653" s="12">
        <f>'P. Nova'!B105</f>
        <v>92</v>
      </c>
      <c r="C653" s="12" t="str">
        <f>'P. Nova'!C105</f>
        <v>15.004.0220-0</v>
      </c>
      <c r="D653" s="12" t="str">
        <f>'P. Nova'!D105</f>
        <v>Tubo PVC de queda 150mm</v>
      </c>
      <c r="E653" s="12" t="str">
        <f>'P. Nova'!E105</f>
        <v>m</v>
      </c>
      <c r="F653" s="13">
        <f>G662</f>
        <v>69</v>
      </c>
    </row>
    <row r="654" spans="2:7" x14ac:dyDescent="0.25">
      <c r="B654" s="12"/>
      <c r="C654" s="12"/>
      <c r="D654" s="12"/>
      <c r="E654" s="12"/>
      <c r="F654" s="13"/>
    </row>
    <row r="655" spans="2:7" x14ac:dyDescent="0.25">
      <c r="B655" s="12"/>
      <c r="C655" s="12"/>
      <c r="D655" s="12"/>
      <c r="E655" s="12"/>
      <c r="G655" s="13" t="s">
        <v>29</v>
      </c>
    </row>
    <row r="656" spans="2:7" x14ac:dyDescent="0.25">
      <c r="B656" s="12"/>
      <c r="C656" t="s">
        <v>232</v>
      </c>
      <c r="D656" s="12"/>
      <c r="E656" s="12"/>
      <c r="G656" s="14">
        <f>4*6.5</f>
        <v>26</v>
      </c>
    </row>
    <row r="657" spans="2:7" x14ac:dyDescent="0.25">
      <c r="B657" s="12"/>
      <c r="C657" t="s">
        <v>90</v>
      </c>
      <c r="D657" s="12"/>
      <c r="E657" s="12"/>
      <c r="G657" s="14">
        <v>6.5</v>
      </c>
    </row>
    <row r="658" spans="2:7" x14ac:dyDescent="0.25">
      <c r="B658" s="12"/>
      <c r="C658" t="s">
        <v>262</v>
      </c>
      <c r="D658" s="12"/>
      <c r="E658" s="12"/>
      <c r="G658" s="14">
        <v>3.5</v>
      </c>
    </row>
    <row r="659" spans="2:7" x14ac:dyDescent="0.25">
      <c r="B659" s="12"/>
      <c r="C659" t="s">
        <v>30</v>
      </c>
      <c r="D659" s="12"/>
      <c r="E659" s="12"/>
      <c r="G659" s="14">
        <f>4*6.5</f>
        <v>26</v>
      </c>
    </row>
    <row r="660" spans="2:7" x14ac:dyDescent="0.25">
      <c r="B660" s="12"/>
      <c r="C660" t="s">
        <v>31</v>
      </c>
      <c r="D660" s="12"/>
      <c r="E660" s="12"/>
      <c r="G660" s="14">
        <f>3.5</f>
        <v>3.5</v>
      </c>
    </row>
    <row r="661" spans="2:7" x14ac:dyDescent="0.25">
      <c r="B661" s="12"/>
      <c r="C661" t="s">
        <v>696</v>
      </c>
      <c r="D661" s="12"/>
      <c r="E661" s="12"/>
      <c r="G661" s="14">
        <v>3.5</v>
      </c>
    </row>
    <row r="662" spans="2:7" x14ac:dyDescent="0.25">
      <c r="B662" s="12"/>
      <c r="D662" s="12"/>
      <c r="E662" s="12"/>
      <c r="G662" s="14">
        <f>SUM(G656:G661)</f>
        <v>69</v>
      </c>
    </row>
    <row r="663" spans="2:7" x14ac:dyDescent="0.25">
      <c r="B663" s="12"/>
      <c r="D663" s="12"/>
      <c r="E663" s="12"/>
      <c r="G663" s="14"/>
    </row>
    <row r="664" spans="2:7" x14ac:dyDescent="0.25">
      <c r="B664" s="12">
        <f>'P. Nova'!B106</f>
        <v>93</v>
      </c>
      <c r="C664" s="12" t="str">
        <f>'P. Nova'!C106</f>
        <v>15.036.0053-0</v>
      </c>
      <c r="D664" s="12" t="str">
        <f>'P. Nova'!D106</f>
        <v>Tubo PVC 150mm - ligação com a rede</v>
      </c>
      <c r="E664" s="12" t="str">
        <f>'P. Nova'!E106</f>
        <v>m</v>
      </c>
      <c r="F664" s="13">
        <f>G671</f>
        <v>205.5</v>
      </c>
    </row>
    <row r="665" spans="2:7" x14ac:dyDescent="0.25">
      <c r="B665" s="12"/>
      <c r="C665" s="12"/>
      <c r="D665" s="12"/>
      <c r="E665" s="12"/>
      <c r="F665" s="13"/>
    </row>
    <row r="666" spans="2:7" x14ac:dyDescent="0.25">
      <c r="B666" s="12"/>
      <c r="C666" s="12"/>
      <c r="D666" s="12"/>
      <c r="E666" s="12"/>
      <c r="G666" s="13" t="s">
        <v>29</v>
      </c>
    </row>
    <row r="667" spans="2:7" x14ac:dyDescent="0.25">
      <c r="B667" s="12"/>
      <c r="C667" t="s">
        <v>232</v>
      </c>
      <c r="D667" s="12"/>
      <c r="E667" s="12"/>
      <c r="G667" s="14">
        <f>(4*15)+15</f>
        <v>75</v>
      </c>
    </row>
    <row r="668" spans="2:7" x14ac:dyDescent="0.25">
      <c r="B668" s="12"/>
      <c r="C668" t="s">
        <v>90</v>
      </c>
      <c r="D668" s="12"/>
      <c r="E668" s="12"/>
      <c r="G668" s="14">
        <f>22+2.5</f>
        <v>24.5</v>
      </c>
    </row>
    <row r="669" spans="2:7" x14ac:dyDescent="0.25">
      <c r="B669" s="12"/>
      <c r="C669" t="s">
        <v>262</v>
      </c>
      <c r="D669" s="12"/>
      <c r="E669" s="12"/>
      <c r="G669" s="14">
        <f>10+2.5</f>
        <v>12.5</v>
      </c>
    </row>
    <row r="670" spans="2:7" x14ac:dyDescent="0.25">
      <c r="B670" s="12"/>
      <c r="C670" t="s">
        <v>30</v>
      </c>
      <c r="D670" s="12"/>
      <c r="E670" s="12"/>
      <c r="G670" s="14">
        <f>(3*29.5)+5</f>
        <v>93.5</v>
      </c>
    </row>
    <row r="671" spans="2:7" x14ac:dyDescent="0.25">
      <c r="B671" s="12"/>
      <c r="D671" s="12"/>
      <c r="E671" s="12"/>
      <c r="G671" s="14">
        <f>SUM(G667:G670)</f>
        <v>205.5</v>
      </c>
    </row>
    <row r="672" spans="2:7" x14ac:dyDescent="0.25">
      <c r="B672" s="12"/>
      <c r="D672" s="12"/>
      <c r="E672" s="12"/>
      <c r="G672" s="14"/>
    </row>
    <row r="673" spans="2:7" x14ac:dyDescent="0.25">
      <c r="B673" s="12">
        <f>'P. Nova'!B107</f>
        <v>94</v>
      </c>
      <c r="C673" s="12" t="str">
        <f>'P. Nova'!C107</f>
        <v>05.058.0011-0</v>
      </c>
      <c r="D673" s="12" t="str">
        <f>'P. Nova'!D107</f>
        <v>Lona tipo leve para proteção de telhados</v>
      </c>
      <c r="E673" s="12" t="str">
        <f>'P. Nova'!E107</f>
        <v>m²</v>
      </c>
      <c r="F673" s="13">
        <f>G678</f>
        <v>124.5531</v>
      </c>
    </row>
    <row r="674" spans="2:7" x14ac:dyDescent="0.25">
      <c r="B674" s="12"/>
      <c r="C674" s="12"/>
      <c r="D674" s="12"/>
      <c r="E674" s="12"/>
      <c r="F674" s="13"/>
    </row>
    <row r="675" spans="2:7" x14ac:dyDescent="0.25">
      <c r="B675" s="12"/>
      <c r="C675" s="12"/>
      <c r="D675" s="12"/>
      <c r="E675" s="12"/>
      <c r="G675" s="13" t="s">
        <v>29</v>
      </c>
    </row>
    <row r="676" spans="2:7" x14ac:dyDescent="0.25">
      <c r="B676" s="12"/>
      <c r="C676" t="s">
        <v>333</v>
      </c>
      <c r="D676" s="12"/>
      <c r="E676" s="12"/>
      <c r="G676" s="14">
        <f>G633</f>
        <v>92.5107</v>
      </c>
    </row>
    <row r="677" spans="2:7" x14ac:dyDescent="0.25">
      <c r="B677" s="12"/>
      <c r="C677" t="s">
        <v>334</v>
      </c>
      <c r="D677" s="12"/>
      <c r="E677" s="12"/>
      <c r="G677" s="14">
        <f>G634</f>
        <v>32.042400000000001</v>
      </c>
    </row>
    <row r="678" spans="2:7" x14ac:dyDescent="0.25">
      <c r="B678" s="12"/>
      <c r="D678" s="12"/>
      <c r="E678" s="12"/>
      <c r="G678" s="14">
        <f>SUM(G676:G677)</f>
        <v>124.5531</v>
      </c>
    </row>
    <row r="679" spans="2:7" x14ac:dyDescent="0.25">
      <c r="B679" s="12"/>
      <c r="D679" s="12"/>
      <c r="E679" s="12"/>
      <c r="G679" s="14"/>
    </row>
    <row r="680" spans="2:7" x14ac:dyDescent="0.25">
      <c r="B680" s="12">
        <f>'P. Nova'!B108</f>
        <v>95</v>
      </c>
      <c r="C680" s="12" t="str">
        <f>'P. Nova'!C108</f>
        <v>16.005.0050-0</v>
      </c>
      <c r="D680" s="12" t="str">
        <f>'P. Nova'!D108</f>
        <v>RUFO EM GALVALUME</v>
      </c>
      <c r="E680" s="12" t="str">
        <f>'P. Nova'!E108</f>
        <v>m</v>
      </c>
      <c r="F680" s="13">
        <f>G687</f>
        <v>24.740000000000002</v>
      </c>
    </row>
    <row r="681" spans="2:7" x14ac:dyDescent="0.25">
      <c r="B681" s="12"/>
      <c r="C681" s="12"/>
      <c r="D681" s="12"/>
      <c r="E681" s="12"/>
      <c r="F681" s="13"/>
    </row>
    <row r="682" spans="2:7" x14ac:dyDescent="0.25">
      <c r="B682" s="12"/>
      <c r="C682" s="12"/>
      <c r="D682" s="12"/>
      <c r="E682" s="12"/>
      <c r="G682" s="13" t="s">
        <v>29</v>
      </c>
    </row>
    <row r="683" spans="2:7" x14ac:dyDescent="0.25">
      <c r="B683" s="12"/>
      <c r="C683" t="s">
        <v>333</v>
      </c>
      <c r="D683" s="12"/>
      <c r="E683" s="12"/>
      <c r="G683" s="14">
        <f>4.58+3.3</f>
        <v>7.88</v>
      </c>
    </row>
    <row r="684" spans="2:7" x14ac:dyDescent="0.25">
      <c r="B684" s="12"/>
      <c r="C684" t="s">
        <v>334</v>
      </c>
      <c r="D684" s="12"/>
      <c r="E684" s="12"/>
      <c r="G684" s="14">
        <v>6.76</v>
      </c>
    </row>
    <row r="685" spans="2:7" x14ac:dyDescent="0.25">
      <c r="B685" s="12"/>
      <c r="C685" t="s">
        <v>31</v>
      </c>
      <c r="D685" s="12"/>
      <c r="E685" s="12"/>
      <c r="G685" s="14">
        <v>3.1</v>
      </c>
    </row>
    <row r="686" spans="2:7" x14ac:dyDescent="0.25">
      <c r="B686" s="12"/>
      <c r="C686" t="s">
        <v>696</v>
      </c>
      <c r="D686" s="12"/>
      <c r="E686" s="12"/>
      <c r="G686" s="14">
        <v>7</v>
      </c>
    </row>
    <row r="687" spans="2:7" x14ac:dyDescent="0.25">
      <c r="B687" s="12"/>
      <c r="D687" s="12"/>
      <c r="E687" s="12"/>
      <c r="G687" s="14">
        <f>SUM(G683:G686)</f>
        <v>24.740000000000002</v>
      </c>
    </row>
    <row r="688" spans="2:7" x14ac:dyDescent="0.25">
      <c r="B688" s="12"/>
      <c r="D688" s="12"/>
      <c r="E688" s="12"/>
      <c r="G688" s="14"/>
    </row>
    <row r="689" spans="2:7" ht="15.75" x14ac:dyDescent="0.25">
      <c r="B689" s="65" t="s">
        <v>153</v>
      </c>
      <c r="C689" s="65"/>
      <c r="D689" s="65"/>
      <c r="E689" s="65"/>
      <c r="F689" s="65"/>
      <c r="G689" s="65"/>
    </row>
    <row r="690" spans="2:7" x14ac:dyDescent="0.25">
      <c r="B690" s="12">
        <f>'P. Nova'!B111</f>
        <v>96</v>
      </c>
      <c r="C690" s="12" t="str">
        <f>'P. Nova'!C111</f>
        <v>16.020.0002-0</v>
      </c>
      <c r="D690" s="12" t="str">
        <f>'P. Nova'!D111</f>
        <v>Impermeabilização Manta asfáltica</v>
      </c>
      <c r="E690" s="12" t="str">
        <f>'P. Nova'!E111</f>
        <v>m²</v>
      </c>
      <c r="F690" s="13">
        <f>F696</f>
        <v>361.05</v>
      </c>
    </row>
    <row r="692" spans="2:7" x14ac:dyDescent="0.25">
      <c r="D692" s="12" t="s">
        <v>61</v>
      </c>
      <c r="E692" t="s">
        <v>62</v>
      </c>
      <c r="F692" t="s">
        <v>29</v>
      </c>
    </row>
    <row r="693" spans="2:7" x14ac:dyDescent="0.25">
      <c r="C693" t="s">
        <v>154</v>
      </c>
      <c r="D693" s="12">
        <f>37.37+2.2</f>
        <v>39.57</v>
      </c>
      <c r="E693" s="14">
        <v>2.5</v>
      </c>
      <c r="F693" s="12">
        <f>TRUNC(D693*E693,2)</f>
        <v>98.92</v>
      </c>
    </row>
    <row r="694" spans="2:7" x14ac:dyDescent="0.25">
      <c r="C694" t="s">
        <v>155</v>
      </c>
      <c r="D694" s="14">
        <v>3.3</v>
      </c>
      <c r="E694" s="14">
        <v>2.0499999999999998</v>
      </c>
      <c r="F694" s="12">
        <f>TRUNC(D694*E694,2)</f>
        <v>6.76</v>
      </c>
    </row>
    <row r="695" spans="2:7" x14ac:dyDescent="0.25">
      <c r="C695" t="s">
        <v>556</v>
      </c>
      <c r="D695" s="14">
        <v>23.8</v>
      </c>
      <c r="E695" s="14">
        <v>10.73</v>
      </c>
      <c r="F695" s="12">
        <f>TRUNC(D695*E695,2)</f>
        <v>255.37</v>
      </c>
    </row>
    <row r="696" spans="2:7" x14ac:dyDescent="0.25">
      <c r="F696" s="12">
        <f>SUM(F693:F695)</f>
        <v>361.05</v>
      </c>
    </row>
    <row r="698" spans="2:7" x14ac:dyDescent="0.25">
      <c r="B698" s="12">
        <f>'P. Nova'!B112</f>
        <v>97</v>
      </c>
      <c r="C698" s="12" t="str">
        <f>'P. Nova'!C112</f>
        <v>13.301.0117-0</v>
      </c>
      <c r="D698" s="12" t="str">
        <f>'P. Nova'!D112</f>
        <v>Contrapiso ou base 1cm (Proteção mecânica)</v>
      </c>
      <c r="E698" s="12" t="str">
        <f>'P. Nova'!E112</f>
        <v>m²</v>
      </c>
      <c r="F698" s="13">
        <f>F690</f>
        <v>361.05</v>
      </c>
    </row>
    <row r="700" spans="2:7" x14ac:dyDescent="0.25">
      <c r="B700" s="12">
        <f>'P. Nova'!B113</f>
        <v>98</v>
      </c>
      <c r="C700" s="12" t="str">
        <f>'P. Nova'!C113</f>
        <v>13.301.0125-1</v>
      </c>
      <c r="D700" s="12" t="str">
        <f>'P. Nova'!D113</f>
        <v>Contrapiso ou base 3cm (emboço)</v>
      </c>
      <c r="E700" s="12" t="str">
        <f>'P. Nova'!E113</f>
        <v>m²</v>
      </c>
      <c r="F700" s="13">
        <f>F690</f>
        <v>361.05</v>
      </c>
    </row>
    <row r="702" spans="2:7" ht="15.75" x14ac:dyDescent="0.25">
      <c r="B702" s="65" t="s">
        <v>171</v>
      </c>
      <c r="C702" s="65"/>
      <c r="D702" s="65"/>
      <c r="E702" s="65"/>
      <c r="F702" s="65"/>
      <c r="G702" s="65"/>
    </row>
    <row r="703" spans="2:7" x14ac:dyDescent="0.25">
      <c r="B703" s="12">
        <f>'P. Nova'!B116</f>
        <v>99</v>
      </c>
      <c r="C703" s="12" t="str">
        <f>'P. Nova'!C116</f>
        <v>17.017.0350-0</v>
      </c>
      <c r="D703" s="12" t="str">
        <f>'P. Nova'!D116</f>
        <v>Pintura de elementos de ferro</v>
      </c>
      <c r="E703" s="12" t="str">
        <f>'P. Nova'!E116</f>
        <v>m²</v>
      </c>
      <c r="F703" s="13">
        <f>G712</f>
        <v>115.09</v>
      </c>
    </row>
    <row r="705" spans="2:8" x14ac:dyDescent="0.25">
      <c r="E705" t="s">
        <v>61</v>
      </c>
      <c r="F705" t="s">
        <v>55</v>
      </c>
      <c r="G705" t="s">
        <v>29</v>
      </c>
    </row>
    <row r="706" spans="2:8" x14ac:dyDescent="0.25">
      <c r="C706" t="s">
        <v>204</v>
      </c>
      <c r="E706" s="14">
        <v>8.8000000000000007</v>
      </c>
      <c r="F706" s="14">
        <v>3</v>
      </c>
      <c r="G706" s="12">
        <f>TRUNC(E706*F706,2)</f>
        <v>26.4</v>
      </c>
    </row>
    <row r="707" spans="2:8" x14ac:dyDescent="0.25">
      <c r="C707" t="s">
        <v>203</v>
      </c>
      <c r="E707" s="14">
        <v>3.34</v>
      </c>
      <c r="F707" s="14">
        <v>3.5</v>
      </c>
      <c r="G707" s="12">
        <f>TRUNC(E707*F707,2)</f>
        <v>11.69</v>
      </c>
      <c r="H707" t="s">
        <v>113</v>
      </c>
    </row>
    <row r="708" spans="2:8" x14ac:dyDescent="0.25">
      <c r="C708" t="s">
        <v>444</v>
      </c>
      <c r="E708" s="14">
        <v>10</v>
      </c>
      <c r="G708" s="12">
        <f>TRUNC(E708*H708,2)</f>
        <v>2.5</v>
      </c>
      <c r="H708" s="14">
        <f>0.0625*4</f>
        <v>0.25</v>
      </c>
    </row>
    <row r="709" spans="2:8" x14ac:dyDescent="0.25">
      <c r="C709" t="s">
        <v>41</v>
      </c>
      <c r="E709" s="14">
        <v>5</v>
      </c>
      <c r="G709" s="12">
        <f>TRUNC(E709*H709,2)</f>
        <v>20</v>
      </c>
      <c r="H709" s="14">
        <v>4</v>
      </c>
    </row>
    <row r="710" spans="2:8" x14ac:dyDescent="0.25">
      <c r="C710" t="s">
        <v>445</v>
      </c>
      <c r="E710" s="14"/>
      <c r="F710" s="14"/>
      <c r="G710" s="12">
        <f>2*2.5*4</f>
        <v>20</v>
      </c>
    </row>
    <row r="711" spans="2:8" x14ac:dyDescent="0.25">
      <c r="C711" t="s">
        <v>446</v>
      </c>
      <c r="E711" s="14">
        <f>11.5*2</f>
        <v>23</v>
      </c>
      <c r="F711" s="14">
        <v>1.5</v>
      </c>
      <c r="G711" s="12">
        <f>TRUNC(E711*F711,2)</f>
        <v>34.5</v>
      </c>
    </row>
    <row r="712" spans="2:8" x14ac:dyDescent="0.25">
      <c r="G712" s="12">
        <f>SUM(G706:G711)</f>
        <v>115.09</v>
      </c>
    </row>
    <row r="714" spans="2:8" x14ac:dyDescent="0.25">
      <c r="B714" s="12">
        <f>'P. Nova'!B117</f>
        <v>100</v>
      </c>
      <c r="C714" s="12" t="str">
        <f>'P. Nova'!C117</f>
        <v>17.018.0190-0</v>
      </c>
      <c r="D714" s="12" t="str">
        <f>'P. Nova'!D117</f>
        <v>Pintura de azulejo</v>
      </c>
      <c r="E714" s="12" t="str">
        <f>'P. Nova'!E117</f>
        <v>m²</v>
      </c>
      <c r="F714" s="13">
        <f>G721</f>
        <v>177.77000000000004</v>
      </c>
    </row>
    <row r="716" spans="2:8" x14ac:dyDescent="0.25">
      <c r="E716" t="s">
        <v>61</v>
      </c>
      <c r="F716" t="s">
        <v>55</v>
      </c>
      <c r="G716" t="s">
        <v>29</v>
      </c>
    </row>
    <row r="717" spans="2:8" x14ac:dyDescent="0.25">
      <c r="C717" t="s">
        <v>80</v>
      </c>
      <c r="E717" s="14">
        <v>27.89</v>
      </c>
      <c r="F717" s="14">
        <v>3.5</v>
      </c>
      <c r="G717" s="12">
        <f>TRUNC(E717*F717,2)</f>
        <v>97.61</v>
      </c>
    </row>
    <row r="718" spans="2:8" x14ac:dyDescent="0.25">
      <c r="C718" t="s">
        <v>81</v>
      </c>
      <c r="E718" s="14">
        <v>11.52</v>
      </c>
      <c r="F718" s="14">
        <v>3</v>
      </c>
      <c r="G718" s="12">
        <f>TRUNC(E718*F718,2)</f>
        <v>34.56</v>
      </c>
    </row>
    <row r="719" spans="2:8" x14ac:dyDescent="0.25">
      <c r="C719" t="s">
        <v>146</v>
      </c>
      <c r="E719" s="14">
        <v>9.59</v>
      </c>
      <c r="F719" s="14">
        <v>3</v>
      </c>
      <c r="G719" s="12">
        <f>TRUNC(E719*F719,2)</f>
        <v>28.77</v>
      </c>
    </row>
    <row r="720" spans="2:8" x14ac:dyDescent="0.25">
      <c r="C720" t="s">
        <v>221</v>
      </c>
      <c r="E720" s="14">
        <v>5.61</v>
      </c>
      <c r="F720" s="14">
        <v>3</v>
      </c>
      <c r="G720" s="12">
        <f>TRUNC(E720*F720,2)</f>
        <v>16.829999999999998</v>
      </c>
    </row>
    <row r="721" spans="2:7" x14ac:dyDescent="0.25">
      <c r="G721" s="12">
        <f>SUM(G717:G720)</f>
        <v>177.77000000000004</v>
      </c>
    </row>
    <row r="722" spans="2:7" x14ac:dyDescent="0.25">
      <c r="G722" s="12"/>
    </row>
    <row r="723" spans="2:7" x14ac:dyDescent="0.25">
      <c r="B723" s="12">
        <f>'P. Nova'!B118</f>
        <v>101</v>
      </c>
      <c r="C723" s="12" t="str">
        <f>'P. Nova'!C118</f>
        <v>102492 (SINAPI)</v>
      </c>
      <c r="D723" s="12" t="str">
        <f>'P. Nova'!D118</f>
        <v>Pintura de piso</v>
      </c>
      <c r="E723" s="12" t="str">
        <f>'P. Nova'!E118</f>
        <v>m²</v>
      </c>
      <c r="F723" s="13">
        <f>G729</f>
        <v>359.2</v>
      </c>
    </row>
    <row r="725" spans="2:7" x14ac:dyDescent="0.25">
      <c r="E725" t="s">
        <v>61</v>
      </c>
      <c r="F725" t="s">
        <v>62</v>
      </c>
      <c r="G725" t="s">
        <v>29</v>
      </c>
    </row>
    <row r="726" spans="2:7" x14ac:dyDescent="0.25">
      <c r="C726" t="s">
        <v>573</v>
      </c>
      <c r="E726" s="14">
        <v>23.8</v>
      </c>
      <c r="F726" s="14">
        <v>10.73</v>
      </c>
      <c r="G726" s="12">
        <f>TRUNC(E726*F726,2)</f>
        <v>255.37</v>
      </c>
    </row>
    <row r="727" spans="2:7" x14ac:dyDescent="0.25">
      <c r="C727" t="s">
        <v>574</v>
      </c>
      <c r="E727" s="14">
        <f>29.5-23.5</f>
        <v>6</v>
      </c>
      <c r="F727" s="14">
        <f>11.43</f>
        <v>11.43</v>
      </c>
      <c r="G727" s="12">
        <f t="shared" ref="G727:G728" si="14">TRUNC(E727*F727,2)</f>
        <v>68.58</v>
      </c>
    </row>
    <row r="728" spans="2:7" x14ac:dyDescent="0.25">
      <c r="C728" t="s">
        <v>575</v>
      </c>
      <c r="E728" s="14">
        <f>29.5-6</f>
        <v>23.5</v>
      </c>
      <c r="F728" s="14">
        <v>1.5</v>
      </c>
      <c r="G728" s="12">
        <f t="shared" si="14"/>
        <v>35.25</v>
      </c>
    </row>
    <row r="729" spans="2:7" x14ac:dyDescent="0.25">
      <c r="E729" s="14"/>
      <c r="F729" s="14"/>
      <c r="G729" s="12">
        <f>SUM(G726:G728)</f>
        <v>359.2</v>
      </c>
    </row>
    <row r="730" spans="2:7" x14ac:dyDescent="0.25">
      <c r="E730" s="14"/>
      <c r="F730" s="14"/>
      <c r="G730" s="12"/>
    </row>
    <row r="731" spans="2:7" x14ac:dyDescent="0.25">
      <c r="B731" s="12">
        <f>'P. Nova'!B119</f>
        <v>102</v>
      </c>
      <c r="C731" s="12" t="str">
        <f>'P. Nova'!C119</f>
        <v>88489 (SINAPI)</v>
      </c>
      <c r="D731" s="12" t="str">
        <f>'P. Nova'!D119</f>
        <v>Pintura parede e teto (Trocar de tinta Latex para acrílica)</v>
      </c>
      <c r="E731" s="12" t="str">
        <f>'P. Nova'!E119</f>
        <v>m²</v>
      </c>
      <c r="F731" s="13">
        <f>G746</f>
        <v>2584.4699999999998</v>
      </c>
    </row>
    <row r="733" spans="2:7" x14ac:dyDescent="0.25">
      <c r="G733" t="s">
        <v>29</v>
      </c>
    </row>
    <row r="734" spans="2:7" x14ac:dyDescent="0.25">
      <c r="C734" s="66" t="s">
        <v>214</v>
      </c>
      <c r="D734" s="66"/>
      <c r="E734" s="14"/>
      <c r="F734" s="14"/>
      <c r="G734" s="14">
        <f>176.85+55.89+20.51+56.56+41.51+23.59</f>
        <v>374.90999999999997</v>
      </c>
    </row>
    <row r="735" spans="2:7" x14ac:dyDescent="0.25">
      <c r="C735" s="66" t="s">
        <v>215</v>
      </c>
      <c r="D735" s="66"/>
      <c r="E735" s="14"/>
      <c r="F735" s="14"/>
      <c r="G735" s="14">
        <f>40.32+34.11+52.41+91.98+32.76+25.32+32.76</f>
        <v>309.65999999999997</v>
      </c>
    </row>
    <row r="736" spans="2:7" x14ac:dyDescent="0.25">
      <c r="C736" s="66" t="s">
        <v>223</v>
      </c>
      <c r="D736" s="66"/>
      <c r="E736" s="14"/>
      <c r="F736" s="14"/>
      <c r="G736" s="14">
        <f>120.04+75.6+64.15+23.59+35.91</f>
        <v>319.28999999999996</v>
      </c>
    </row>
    <row r="737" spans="2:7" x14ac:dyDescent="0.25">
      <c r="C737" s="66" t="s">
        <v>217</v>
      </c>
      <c r="D737" s="66"/>
      <c r="E737" s="14"/>
      <c r="F737" s="14"/>
      <c r="G737" s="14">
        <f>2.46+15.5+48.37+4.4+1.6+9.07+27.27+2.95+8.13+4.35</f>
        <v>124.1</v>
      </c>
    </row>
    <row r="738" spans="2:7" x14ac:dyDescent="0.25">
      <c r="C738" s="66" t="s">
        <v>218</v>
      </c>
      <c r="D738" s="66"/>
      <c r="E738" s="14"/>
      <c r="F738" s="14"/>
      <c r="G738" s="14">
        <f>42.42+8.59+13.09+8.32+19.76+3.38+9.27+0.68</f>
        <v>105.51000000000002</v>
      </c>
    </row>
    <row r="739" spans="2:7" x14ac:dyDescent="0.25">
      <c r="C739" s="66" t="s">
        <v>216</v>
      </c>
      <c r="D739" s="66"/>
      <c r="E739" s="14"/>
      <c r="F739" s="14"/>
      <c r="G739" s="14">
        <f>105.9</f>
        <v>105.9</v>
      </c>
    </row>
    <row r="740" spans="2:7" x14ac:dyDescent="0.25">
      <c r="C740" s="66" t="s">
        <v>222</v>
      </c>
      <c r="D740" s="66"/>
      <c r="E740" s="14"/>
      <c r="F740" s="14"/>
      <c r="G740" s="14">
        <v>215.55</v>
      </c>
    </row>
    <row r="741" spans="2:7" x14ac:dyDescent="0.25">
      <c r="C741" s="66" t="s">
        <v>219</v>
      </c>
      <c r="D741" s="66"/>
      <c r="E741" s="14"/>
      <c r="F741" s="14"/>
      <c r="G741" s="14">
        <f>G742</f>
        <v>38.44</v>
      </c>
    </row>
    <row r="742" spans="2:7" x14ac:dyDescent="0.25">
      <c r="C742" s="66" t="s">
        <v>220</v>
      </c>
      <c r="D742" s="66"/>
      <c r="E742" s="14"/>
      <c r="F742" s="14"/>
      <c r="G742" s="14">
        <f>1.69+2.6+4.86+9.64+7.65+12</f>
        <v>38.44</v>
      </c>
    </row>
    <row r="743" spans="2:7" x14ac:dyDescent="0.25">
      <c r="C743" t="s">
        <v>30</v>
      </c>
      <c r="E743" s="14"/>
      <c r="F743" s="14"/>
      <c r="G743" s="14">
        <f>(29.5*3)+(11.43*5)+(11.43*3)+(23.5*5.5*4)+(10.43*5.5*4)</f>
        <v>926.40000000000009</v>
      </c>
    </row>
    <row r="744" spans="2:7" x14ac:dyDescent="0.25">
      <c r="C744" t="s">
        <v>470</v>
      </c>
      <c r="E744" s="14"/>
      <c r="F744" s="14"/>
      <c r="G744" s="14">
        <f>2.46+(((1.36*2)+(1.68*2))*3.5)-(0.7*2.1)</f>
        <v>22.270000000000003</v>
      </c>
    </row>
    <row r="745" spans="2:7" x14ac:dyDescent="0.25">
      <c r="C745" t="s">
        <v>471</v>
      </c>
      <c r="E745" s="14"/>
      <c r="F745" s="14"/>
      <c r="G745" s="14">
        <f>1.6+(0.75*3.2)</f>
        <v>4</v>
      </c>
    </row>
    <row r="746" spans="2:7" x14ac:dyDescent="0.25">
      <c r="G746" s="14">
        <f>SUM(G734:G745)</f>
        <v>2584.4699999999998</v>
      </c>
    </row>
    <row r="747" spans="2:7" x14ac:dyDescent="0.25">
      <c r="G747" s="14"/>
    </row>
    <row r="748" spans="2:7" x14ac:dyDescent="0.25">
      <c r="B748" s="12">
        <f>'P. Nova'!B120</f>
        <v>103</v>
      </c>
      <c r="C748" s="12" t="str">
        <f>'P. Nova'!C120</f>
        <v>88496 (SINAPI)</v>
      </c>
      <c r="D748" s="12" t="str">
        <f>'P. Nova'!D120</f>
        <v>Massa parede e teto (Trocar de tinta Latex para acrílica)</v>
      </c>
      <c r="E748" s="12" t="str">
        <f>'P. Nova'!E120</f>
        <v>m²</v>
      </c>
      <c r="F748" s="13">
        <f>G751</f>
        <v>2584.4699999999998</v>
      </c>
    </row>
    <row r="750" spans="2:7" x14ac:dyDescent="0.25">
      <c r="G750" t="s">
        <v>29</v>
      </c>
    </row>
    <row r="751" spans="2:7" x14ac:dyDescent="0.25">
      <c r="C751" t="s">
        <v>545</v>
      </c>
      <c r="E751" s="14"/>
      <c r="F751" s="14"/>
      <c r="G751" s="14">
        <f>G746</f>
        <v>2584.4699999999998</v>
      </c>
    </row>
    <row r="752" spans="2:7" x14ac:dyDescent="0.25">
      <c r="G752" s="14"/>
    </row>
    <row r="753" spans="2:7" x14ac:dyDescent="0.25">
      <c r="B753" s="12">
        <f>'P. Nova'!B121</f>
        <v>104</v>
      </c>
      <c r="C753" s="12" t="str">
        <f>'P. Nova'!C121</f>
        <v>88485 (SINAPI)</v>
      </c>
      <c r="D753" s="12" t="str">
        <f>'P. Nova'!D121</f>
        <v>Selador acrílico (Trocar de tinta Latex para acrílica)</v>
      </c>
      <c r="E753" s="12" t="str">
        <f>'P. Nova'!E121</f>
        <v>m²</v>
      </c>
      <c r="F753" s="13">
        <f>G756</f>
        <v>2584.4699999999998</v>
      </c>
    </row>
    <row r="755" spans="2:7" x14ac:dyDescent="0.25">
      <c r="G755" t="s">
        <v>29</v>
      </c>
    </row>
    <row r="756" spans="2:7" x14ac:dyDescent="0.25">
      <c r="C756" t="s">
        <v>545</v>
      </c>
      <c r="E756" s="14"/>
      <c r="F756" s="14"/>
      <c r="G756" s="14">
        <f>G751</f>
        <v>2584.4699999999998</v>
      </c>
    </row>
    <row r="757" spans="2:7" x14ac:dyDescent="0.25">
      <c r="G757" s="14"/>
    </row>
    <row r="758" spans="2:7" x14ac:dyDescent="0.25">
      <c r="B758" s="12">
        <f>'P. Nova'!B122</f>
        <v>105</v>
      </c>
      <c r="C758" s="12" t="str">
        <f>'P. Nova'!C122</f>
        <v>17.017.0169-0</v>
      </c>
      <c r="D758" s="12" t="str">
        <f>'P. Nova'!D122</f>
        <v>Pintura de porta</v>
      </c>
      <c r="E758" s="12" t="str">
        <f>'P. Nova'!E122</f>
        <v>m²</v>
      </c>
      <c r="F758" s="14">
        <f>G766</f>
        <v>51.70000000000001</v>
      </c>
    </row>
    <row r="760" spans="2:7" x14ac:dyDescent="0.25">
      <c r="D760" s="12" t="s">
        <v>68</v>
      </c>
      <c r="E760" s="12" t="s">
        <v>197</v>
      </c>
      <c r="F760" t="s">
        <v>161</v>
      </c>
      <c r="G760" t="s">
        <v>29</v>
      </c>
    </row>
    <row r="761" spans="2:7" x14ac:dyDescent="0.25">
      <c r="C761" t="s">
        <v>546</v>
      </c>
      <c r="D761" s="14">
        <f>F534</f>
        <v>2</v>
      </c>
      <c r="E761" s="14">
        <f>0.6*2.1+(5.4*0.035)</f>
        <v>1.4490000000000001</v>
      </c>
      <c r="F761" s="14">
        <v>2</v>
      </c>
      <c r="G761" s="14">
        <f>TRUNC(D761*E761*F761,2)</f>
        <v>5.79</v>
      </c>
    </row>
    <row r="762" spans="2:7" x14ac:dyDescent="0.25">
      <c r="C762" t="s">
        <v>547</v>
      </c>
      <c r="D762" s="14">
        <f>F541</f>
        <v>3</v>
      </c>
      <c r="E762" s="14">
        <f>0.7*2.1+(5.6*0.035)</f>
        <v>1.6659999999999999</v>
      </c>
      <c r="F762" s="14">
        <v>2</v>
      </c>
      <c r="G762" s="14">
        <f t="shared" ref="G762:G765" si="15">TRUNC(D762*E762*F762,2)</f>
        <v>9.99</v>
      </c>
    </row>
    <row r="763" spans="2:7" x14ac:dyDescent="0.25">
      <c r="C763" t="s">
        <v>576</v>
      </c>
      <c r="D763" s="14">
        <f>F549</f>
        <v>8</v>
      </c>
      <c r="E763" s="14">
        <f>0.8*2.1+(5.8*0.035)</f>
        <v>1.8830000000000002</v>
      </c>
      <c r="F763" s="14">
        <v>2</v>
      </c>
      <c r="G763" s="14">
        <f t="shared" si="15"/>
        <v>30.12</v>
      </c>
    </row>
    <row r="764" spans="2:7" x14ac:dyDescent="0.25">
      <c r="C764" t="s">
        <v>577</v>
      </c>
      <c r="D764" s="14">
        <f>F558</f>
        <v>1</v>
      </c>
      <c r="E764" s="14">
        <f>0.9*2.1+(6*0.035)</f>
        <v>2.1</v>
      </c>
      <c r="F764" s="14">
        <v>2</v>
      </c>
      <c r="G764" s="14">
        <f t="shared" si="15"/>
        <v>4.2</v>
      </c>
    </row>
    <row r="765" spans="2:7" x14ac:dyDescent="0.25">
      <c r="C765" t="s">
        <v>472</v>
      </c>
      <c r="D765" s="14">
        <v>1</v>
      </c>
      <c r="E765" s="14">
        <v>0.8</v>
      </c>
      <c r="F765" s="14">
        <v>2</v>
      </c>
      <c r="G765" s="14">
        <f t="shared" si="15"/>
        <v>1.6</v>
      </c>
    </row>
    <row r="766" spans="2:7" x14ac:dyDescent="0.25">
      <c r="G766" s="14">
        <f>SUM(G761:G765)</f>
        <v>51.70000000000001</v>
      </c>
    </row>
    <row r="767" spans="2:7" x14ac:dyDescent="0.25">
      <c r="G767" s="14"/>
    </row>
    <row r="768" spans="2:7" x14ac:dyDescent="0.25">
      <c r="B768" s="12">
        <f>'P. Nova'!B123</f>
        <v>106</v>
      </c>
      <c r="C768" s="12" t="str">
        <f>'P. Nova'!C123</f>
        <v>05.001.0365-0</v>
      </c>
      <c r="D768" s="12" t="str">
        <f>'P. Nova'!D123</f>
        <v>Limpeza de pisos ceramicos</v>
      </c>
      <c r="E768" s="12" t="str">
        <f>'P. Nova'!E123</f>
        <v>m²</v>
      </c>
      <c r="F768" s="14">
        <f>G775</f>
        <v>93.951700000000002</v>
      </c>
    </row>
    <row r="770" spans="2:7" x14ac:dyDescent="0.25">
      <c r="E770" t="s">
        <v>61</v>
      </c>
      <c r="F770" t="s">
        <v>62</v>
      </c>
      <c r="G770" t="s">
        <v>29</v>
      </c>
    </row>
    <row r="771" spans="2:7" x14ac:dyDescent="0.25">
      <c r="C771" t="s">
        <v>387</v>
      </c>
      <c r="E771">
        <v>2.89</v>
      </c>
      <c r="F771">
        <v>3.35</v>
      </c>
      <c r="G771">
        <f>E771*F771</f>
        <v>9.6815000000000015</v>
      </c>
    </row>
    <row r="772" spans="2:7" x14ac:dyDescent="0.25">
      <c r="C772" t="s">
        <v>386</v>
      </c>
      <c r="E772">
        <v>2.89</v>
      </c>
      <c r="F772">
        <v>3.22</v>
      </c>
      <c r="G772">
        <f t="shared" ref="G772:G774" si="16">E772*F772</f>
        <v>9.3058000000000014</v>
      </c>
    </row>
    <row r="773" spans="2:7" x14ac:dyDescent="0.25">
      <c r="C773" t="s">
        <v>388</v>
      </c>
      <c r="E773">
        <f>2.98+3.55</f>
        <v>6.5299999999999994</v>
      </c>
      <c r="F773">
        <v>5.74</v>
      </c>
      <c r="G773">
        <f t="shared" si="16"/>
        <v>37.482199999999999</v>
      </c>
    </row>
    <row r="774" spans="2:7" x14ac:dyDescent="0.25">
      <c r="C774" t="s">
        <v>389</v>
      </c>
      <c r="E774">
        <f>2.98+3.55</f>
        <v>6.5299999999999994</v>
      </c>
      <c r="F774">
        <v>5.74</v>
      </c>
      <c r="G774">
        <f t="shared" si="16"/>
        <v>37.482199999999999</v>
      </c>
    </row>
    <row r="775" spans="2:7" x14ac:dyDescent="0.25">
      <c r="E775" s="14"/>
      <c r="F775" s="14"/>
      <c r="G775" s="14">
        <f>SUM(G771:G774)</f>
        <v>93.951700000000002</v>
      </c>
    </row>
    <row r="776" spans="2:7" x14ac:dyDescent="0.25">
      <c r="E776" s="14"/>
      <c r="F776" s="14"/>
      <c r="G776" s="14"/>
    </row>
    <row r="777" spans="2:7" x14ac:dyDescent="0.25">
      <c r="B777" s="12">
        <f>'P. Nova'!B124</f>
        <v>107</v>
      </c>
      <c r="C777" s="12" t="str">
        <f>'P. Nova'!C124</f>
        <v>05.040.0870-0</v>
      </c>
      <c r="D777" s="8" t="str">
        <f>'P. Nova'!D124</f>
        <v>RASPAGEM,CALAFETACAO E ENCERAMENTO DE PISO DE TACOS COMUNS OU SOALHO DE MADEIRA,COM UMA DEMAO DE CERA</v>
      </c>
      <c r="E777" s="12" t="str">
        <f>'P. Nova'!E124</f>
        <v>m²</v>
      </c>
      <c r="F777" s="14">
        <f>G782</f>
        <v>101.58510000000001</v>
      </c>
    </row>
    <row r="779" spans="2:7" x14ac:dyDescent="0.25">
      <c r="G779" t="s">
        <v>29</v>
      </c>
    </row>
    <row r="780" spans="2:7" x14ac:dyDescent="0.25">
      <c r="C780" t="s">
        <v>486</v>
      </c>
      <c r="G780">
        <f>24.07+(3.63*3.77)</f>
        <v>37.755099999999999</v>
      </c>
    </row>
    <row r="781" spans="2:7" x14ac:dyDescent="0.25">
      <c r="C781" t="s">
        <v>483</v>
      </c>
      <c r="G781">
        <f>42.42+13.09+8.32</f>
        <v>63.830000000000005</v>
      </c>
    </row>
    <row r="782" spans="2:7" x14ac:dyDescent="0.25">
      <c r="E782" s="14"/>
      <c r="F782" s="14"/>
      <c r="G782" s="14">
        <f>SUM(G780:G781)</f>
        <v>101.58510000000001</v>
      </c>
    </row>
    <row r="784" spans="2:7" ht="15.75" x14ac:dyDescent="0.25">
      <c r="B784" s="65" t="s">
        <v>172</v>
      </c>
      <c r="C784" s="65"/>
      <c r="D784" s="65"/>
      <c r="E784" s="65"/>
      <c r="F784" s="65"/>
      <c r="G784" s="65"/>
    </row>
    <row r="785" spans="2:6" x14ac:dyDescent="0.25">
      <c r="B785" s="12">
        <f>'P. Nova'!B127</f>
        <v>108</v>
      </c>
      <c r="C785" s="12" t="str">
        <f>'P. Nova'!C127</f>
        <v>15.005.0255-0</v>
      </c>
      <c r="D785" s="12" t="str">
        <f>'P. Nova'!D127</f>
        <v>Infraestrutura Ar Condicionado</v>
      </c>
      <c r="E785" s="12" t="str">
        <f>'P. Nova'!E127</f>
        <v>m</v>
      </c>
      <c r="F785" s="13">
        <f>F792</f>
        <v>536.51</v>
      </c>
    </row>
    <row r="787" spans="2:6" x14ac:dyDescent="0.25">
      <c r="D787" t="s">
        <v>173</v>
      </c>
      <c r="E787" t="s">
        <v>174</v>
      </c>
      <c r="F787" t="s">
        <v>29</v>
      </c>
    </row>
    <row r="788" spans="2:6" x14ac:dyDescent="0.25">
      <c r="C788" t="s">
        <v>175</v>
      </c>
      <c r="D788" s="14">
        <v>12</v>
      </c>
      <c r="E788" s="14">
        <v>10</v>
      </c>
      <c r="F788" s="14">
        <f>TRUNC(D788*E788,2)</f>
        <v>120</v>
      </c>
    </row>
    <row r="789" spans="2:6" x14ac:dyDescent="0.25">
      <c r="C789" t="s">
        <v>176</v>
      </c>
      <c r="D789" s="14">
        <v>9.5</v>
      </c>
      <c r="E789" s="14">
        <v>10</v>
      </c>
      <c r="F789" s="14">
        <f>TRUNC(D789*E789,2)</f>
        <v>95</v>
      </c>
    </row>
    <row r="790" spans="2:6" x14ac:dyDescent="0.25">
      <c r="C790" t="s">
        <v>177</v>
      </c>
      <c r="D790" s="14">
        <v>7</v>
      </c>
      <c r="E790" s="14">
        <v>4</v>
      </c>
      <c r="F790" s="14">
        <f>TRUNC(D790*E790,2)</f>
        <v>28</v>
      </c>
    </row>
    <row r="791" spans="2:6" x14ac:dyDescent="0.25">
      <c r="C791" s="26" t="s">
        <v>30</v>
      </c>
      <c r="D791" s="14">
        <f>((23.5+10.43)/2)+4</f>
        <v>20.965</v>
      </c>
      <c r="E791" s="14">
        <v>14</v>
      </c>
      <c r="F791" s="14">
        <f>TRUNC(D791*E791,2)</f>
        <v>293.51</v>
      </c>
    </row>
    <row r="792" spans="2:6" x14ac:dyDescent="0.25">
      <c r="F792" s="14">
        <f>SUM(F788:F791)</f>
        <v>536.51</v>
      </c>
    </row>
    <row r="794" spans="2:6" x14ac:dyDescent="0.25">
      <c r="B794" s="12">
        <f>'P. Nova'!B128</f>
        <v>109</v>
      </c>
      <c r="C794" s="12" t="str">
        <f>'P. Nova'!C128</f>
        <v>15.036.0037-0</v>
      </c>
      <c r="D794" s="12" t="str">
        <f>'P. Nova'!D128</f>
        <v>Tubo PVC 25mm</v>
      </c>
      <c r="E794" s="12" t="str">
        <f>'P. Nova'!E128</f>
        <v>m</v>
      </c>
      <c r="F794" s="13">
        <f>F802</f>
        <v>566.72</v>
      </c>
    </row>
    <row r="796" spans="2:6" x14ac:dyDescent="0.25">
      <c r="D796" t="s">
        <v>173</v>
      </c>
      <c r="E796" t="s">
        <v>174</v>
      </c>
      <c r="F796" t="s">
        <v>29</v>
      </c>
    </row>
    <row r="797" spans="2:6" x14ac:dyDescent="0.25">
      <c r="C797" t="s">
        <v>512</v>
      </c>
      <c r="D797" s="14">
        <v>9</v>
      </c>
      <c r="E797" s="14">
        <v>10</v>
      </c>
      <c r="F797" s="14">
        <f>TRUNC(D797*E797,2)</f>
        <v>90</v>
      </c>
    </row>
    <row r="798" spans="2:6" x14ac:dyDescent="0.25">
      <c r="C798" t="s">
        <v>513</v>
      </c>
      <c r="D798" s="14">
        <v>8</v>
      </c>
      <c r="E798" s="14">
        <v>10</v>
      </c>
      <c r="F798" s="14">
        <f>TRUNC(D798*E798,2)</f>
        <v>80</v>
      </c>
    </row>
    <row r="799" spans="2:6" x14ac:dyDescent="0.25">
      <c r="C799" t="s">
        <v>514</v>
      </c>
      <c r="D799" s="14">
        <v>5</v>
      </c>
      <c r="E799" s="14">
        <v>10</v>
      </c>
      <c r="F799" s="14">
        <f>TRUNC(D799*E799,2)</f>
        <v>50</v>
      </c>
    </row>
    <row r="800" spans="2:6" x14ac:dyDescent="0.25">
      <c r="C800" t="s">
        <v>515</v>
      </c>
      <c r="D800" s="14">
        <v>10</v>
      </c>
      <c r="E800" s="14">
        <v>20</v>
      </c>
      <c r="F800" s="14">
        <f>TRUNC(D800*E800,2)</f>
        <v>200</v>
      </c>
    </row>
    <row r="801" spans="2:6" x14ac:dyDescent="0.25">
      <c r="C801" t="s">
        <v>605</v>
      </c>
      <c r="D801" s="14">
        <v>10.48</v>
      </c>
      <c r="E801" s="14">
        <v>14</v>
      </c>
      <c r="F801" s="14">
        <f>TRUNC(D801*E801,2)</f>
        <v>146.72</v>
      </c>
    </row>
    <row r="802" spans="2:6" x14ac:dyDescent="0.25">
      <c r="F802" s="14">
        <f>SUM(F797:F801)</f>
        <v>566.72</v>
      </c>
    </row>
    <row r="804" spans="2:6" x14ac:dyDescent="0.25">
      <c r="B804" s="12">
        <f>'P. Nova'!B129</f>
        <v>110</v>
      </c>
      <c r="C804" s="12" t="str">
        <f>'P. Nova'!C129</f>
        <v>15.045.0110-0</v>
      </c>
      <c r="D804" s="12" t="str">
        <f>'P. Nova'!D129</f>
        <v>Abertura e fechamento manual de parede (passagem tubos)</v>
      </c>
      <c r="E804" s="12" t="str">
        <f>'P. Nova'!E129</f>
        <v>m</v>
      </c>
      <c r="F804" s="13">
        <f>F812</f>
        <v>595.72</v>
      </c>
    </row>
    <row r="806" spans="2:6" x14ac:dyDescent="0.25">
      <c r="D806" t="s">
        <v>173</v>
      </c>
      <c r="E806" t="s">
        <v>174</v>
      </c>
      <c r="F806" t="s">
        <v>29</v>
      </c>
    </row>
    <row r="807" spans="2:6" x14ac:dyDescent="0.25">
      <c r="C807" t="s">
        <v>175</v>
      </c>
      <c r="D807" s="14">
        <v>11</v>
      </c>
      <c r="E807" s="14">
        <v>10</v>
      </c>
      <c r="F807" s="14">
        <f>TRUNC(D807*E807,2)</f>
        <v>110</v>
      </c>
    </row>
    <row r="808" spans="2:6" x14ac:dyDescent="0.25">
      <c r="C808" t="s">
        <v>176</v>
      </c>
      <c r="D808" s="14">
        <v>8.5</v>
      </c>
      <c r="E808" s="14">
        <v>10</v>
      </c>
      <c r="F808" s="14">
        <f>TRUNC(D808*E808,2)</f>
        <v>85</v>
      </c>
    </row>
    <row r="809" spans="2:6" x14ac:dyDescent="0.25">
      <c r="C809" t="s">
        <v>177</v>
      </c>
      <c r="D809" s="14">
        <v>6</v>
      </c>
      <c r="E809" s="14">
        <v>4</v>
      </c>
      <c r="F809" s="14">
        <f>TRUNC(D809*E809,2)</f>
        <v>24</v>
      </c>
    </row>
    <row r="810" spans="2:6" x14ac:dyDescent="0.25">
      <c r="C810" t="s">
        <v>516</v>
      </c>
      <c r="D810" s="14"/>
      <c r="E810" s="14"/>
      <c r="F810" s="14">
        <f>F800+F1026</f>
        <v>230</v>
      </c>
    </row>
    <row r="811" spans="2:6" x14ac:dyDescent="0.25">
      <c r="C811" t="s">
        <v>605</v>
      </c>
      <c r="D811" s="14">
        <v>10.48</v>
      </c>
      <c r="E811" s="14">
        <v>14</v>
      </c>
      <c r="F811" s="14">
        <f>TRUNC(D811*E811,2)</f>
        <v>146.72</v>
      </c>
    </row>
    <row r="812" spans="2:6" x14ac:dyDescent="0.25">
      <c r="F812" s="14">
        <f>SUM(F807:F811)</f>
        <v>595.72</v>
      </c>
    </row>
    <row r="814" spans="2:6" x14ac:dyDescent="0.25">
      <c r="B814" s="12">
        <f>'P. Nova'!B130</f>
        <v>111</v>
      </c>
      <c r="C814" s="12" t="str">
        <f>'P. Nova'!C130</f>
        <v>15.015.0214-0</v>
      </c>
      <c r="D814" s="12" t="str">
        <f>'P. Nova'!D130</f>
        <v>Instalação aparente ponto de ventilador de teto</v>
      </c>
      <c r="E814" s="12" t="str">
        <f>'P. Nova'!E130</f>
        <v>unid</v>
      </c>
      <c r="F814" s="13">
        <f>F817</f>
        <v>2</v>
      </c>
    </row>
    <row r="816" spans="2:6" x14ac:dyDescent="0.25">
      <c r="F816" t="s">
        <v>29</v>
      </c>
    </row>
    <row r="817" spans="2:6" x14ac:dyDescent="0.25">
      <c r="C817" t="s">
        <v>180</v>
      </c>
      <c r="D817" s="14"/>
      <c r="E817" s="14"/>
      <c r="F817" s="14">
        <v>2</v>
      </c>
    </row>
    <row r="819" spans="2:6" x14ac:dyDescent="0.25">
      <c r="B819" s="12">
        <f>'P. Nova'!B131</f>
        <v>112</v>
      </c>
      <c r="C819" s="12" t="str">
        <f>'P. Nova'!C131</f>
        <v>15.015.0051-0</v>
      </c>
      <c r="D819" s="12" t="str">
        <f>'P. Nova'!D131</f>
        <v>Instalação de 3 pontos de luz</v>
      </c>
      <c r="E819" s="12" t="str">
        <f>'P. Nova'!E131</f>
        <v>unid</v>
      </c>
      <c r="F819" s="13">
        <f>F841</f>
        <v>63</v>
      </c>
    </row>
    <row r="821" spans="2:6" x14ac:dyDescent="0.25">
      <c r="F821" t="s">
        <v>29</v>
      </c>
    </row>
    <row r="822" spans="2:6" x14ac:dyDescent="0.25">
      <c r="C822" t="s">
        <v>183</v>
      </c>
      <c r="D822" s="14"/>
      <c r="E822" s="14"/>
      <c r="F822" s="14">
        <v>6</v>
      </c>
    </row>
    <row r="823" spans="2:6" x14ac:dyDescent="0.25">
      <c r="C823" t="s">
        <v>32</v>
      </c>
      <c r="F823" s="14">
        <v>1</v>
      </c>
    </row>
    <row r="824" spans="2:6" x14ac:dyDescent="0.25">
      <c r="C824" t="s">
        <v>71</v>
      </c>
      <c r="F824" s="14">
        <v>2</v>
      </c>
    </row>
    <row r="825" spans="2:6" x14ac:dyDescent="0.25">
      <c r="C825" t="s">
        <v>118</v>
      </c>
      <c r="F825" s="14">
        <v>1</v>
      </c>
    </row>
    <row r="826" spans="2:6" x14ac:dyDescent="0.25">
      <c r="C826" t="s">
        <v>64</v>
      </c>
      <c r="F826" s="14">
        <v>1</v>
      </c>
    </row>
    <row r="827" spans="2:6" x14ac:dyDescent="0.25">
      <c r="C827" t="s">
        <v>184</v>
      </c>
      <c r="F827" s="14">
        <v>4</v>
      </c>
    </row>
    <row r="828" spans="2:6" x14ac:dyDescent="0.25">
      <c r="C828" t="s">
        <v>80</v>
      </c>
      <c r="F828" s="14">
        <v>3</v>
      </c>
    </row>
    <row r="829" spans="2:6" x14ac:dyDescent="0.25">
      <c r="C829" t="s">
        <v>185</v>
      </c>
      <c r="F829" s="14">
        <v>1</v>
      </c>
    </row>
    <row r="830" spans="2:6" x14ac:dyDescent="0.25">
      <c r="C830" t="s">
        <v>107</v>
      </c>
      <c r="F830" s="14">
        <v>3</v>
      </c>
    </row>
    <row r="831" spans="2:6" x14ac:dyDescent="0.25">
      <c r="C831" t="s">
        <v>81</v>
      </c>
      <c r="F831" s="14">
        <v>1</v>
      </c>
    </row>
    <row r="832" spans="2:6" x14ac:dyDescent="0.25">
      <c r="C832" t="s">
        <v>146</v>
      </c>
      <c r="F832" s="14">
        <v>1</v>
      </c>
    </row>
    <row r="833" spans="2:6" x14ac:dyDescent="0.25">
      <c r="C833" t="s">
        <v>186</v>
      </c>
      <c r="F833" s="14">
        <v>5</v>
      </c>
    </row>
    <row r="834" spans="2:6" x14ac:dyDescent="0.25">
      <c r="C834" t="s">
        <v>46</v>
      </c>
      <c r="F834" s="14">
        <v>1</v>
      </c>
    </row>
    <row r="835" spans="2:6" x14ac:dyDescent="0.25">
      <c r="C835" t="s">
        <v>40</v>
      </c>
      <c r="F835" s="14">
        <v>1</v>
      </c>
    </row>
    <row r="836" spans="2:6" x14ac:dyDescent="0.25">
      <c r="C836" t="s">
        <v>88</v>
      </c>
      <c r="F836" s="14">
        <v>4</v>
      </c>
    </row>
    <row r="837" spans="2:6" x14ac:dyDescent="0.25">
      <c r="C837" t="s">
        <v>187</v>
      </c>
      <c r="F837" s="14">
        <v>1</v>
      </c>
    </row>
    <row r="838" spans="2:6" x14ac:dyDescent="0.25">
      <c r="C838" t="s">
        <v>470</v>
      </c>
      <c r="F838" s="14">
        <v>1</v>
      </c>
    </row>
    <row r="839" spans="2:6" x14ac:dyDescent="0.25">
      <c r="C839" t="s">
        <v>471</v>
      </c>
      <c r="F839" s="14">
        <v>1</v>
      </c>
    </row>
    <row r="840" spans="2:6" x14ac:dyDescent="0.25">
      <c r="C840" t="s">
        <v>591</v>
      </c>
      <c r="F840" s="14">
        <v>25</v>
      </c>
    </row>
    <row r="841" spans="2:6" x14ac:dyDescent="0.25">
      <c r="F841" s="14">
        <f>SUM(F822:F840)</f>
        <v>63</v>
      </c>
    </row>
    <row r="843" spans="2:6" x14ac:dyDescent="0.25">
      <c r="B843" s="12">
        <f>'P. Nova'!B132</f>
        <v>113</v>
      </c>
      <c r="C843" s="12" t="str">
        <f>'P. Nova'!C132</f>
        <v>15.015.0256-0</v>
      </c>
      <c r="D843" s="12" t="str">
        <f>'P. Nova'!D132</f>
        <v>Instalação de ponto de tomada</v>
      </c>
      <c r="E843" s="12" t="str">
        <f>'P. Nova'!E132</f>
        <v>unid</v>
      </c>
      <c r="F843" s="13">
        <f>F864</f>
        <v>128</v>
      </c>
    </row>
    <row r="845" spans="2:6" x14ac:dyDescent="0.25">
      <c r="F845" t="s">
        <v>29</v>
      </c>
    </row>
    <row r="846" spans="2:6" x14ac:dyDescent="0.25">
      <c r="C846" t="s">
        <v>183</v>
      </c>
      <c r="D846" s="14"/>
      <c r="E846" s="14"/>
      <c r="F846" s="14">
        <v>13</v>
      </c>
    </row>
    <row r="847" spans="2:6" x14ac:dyDescent="0.25">
      <c r="C847" t="s">
        <v>32</v>
      </c>
      <c r="F847" s="14">
        <v>2</v>
      </c>
    </row>
    <row r="848" spans="2:6" x14ac:dyDescent="0.25">
      <c r="C848" t="s">
        <v>71</v>
      </c>
      <c r="F848" s="14">
        <v>1</v>
      </c>
    </row>
    <row r="849" spans="3:6" x14ac:dyDescent="0.25">
      <c r="C849" t="s">
        <v>118</v>
      </c>
      <c r="F849" s="14">
        <v>1</v>
      </c>
    </row>
    <row r="850" spans="3:6" x14ac:dyDescent="0.25">
      <c r="C850" t="s">
        <v>64</v>
      </c>
      <c r="F850" s="14">
        <v>2</v>
      </c>
    </row>
    <row r="851" spans="3:6" x14ac:dyDescent="0.25">
      <c r="C851" t="s">
        <v>184</v>
      </c>
      <c r="F851" s="14">
        <v>8</v>
      </c>
    </row>
    <row r="852" spans="3:6" x14ac:dyDescent="0.25">
      <c r="C852" t="s">
        <v>80</v>
      </c>
      <c r="F852" s="14">
        <v>16</v>
      </c>
    </row>
    <row r="853" spans="3:6" x14ac:dyDescent="0.25">
      <c r="C853" t="s">
        <v>185</v>
      </c>
      <c r="F853" s="14">
        <v>8</v>
      </c>
    </row>
    <row r="854" spans="3:6" x14ac:dyDescent="0.25">
      <c r="C854" t="s">
        <v>107</v>
      </c>
      <c r="F854" s="14">
        <v>16</v>
      </c>
    </row>
    <row r="855" spans="3:6" x14ac:dyDescent="0.25">
      <c r="C855" t="s">
        <v>81</v>
      </c>
      <c r="F855" s="14">
        <v>4</v>
      </c>
    </row>
    <row r="856" spans="3:6" x14ac:dyDescent="0.25">
      <c r="C856" t="s">
        <v>146</v>
      </c>
      <c r="F856" s="14">
        <v>4</v>
      </c>
    </row>
    <row r="857" spans="3:6" x14ac:dyDescent="0.25">
      <c r="C857" t="s">
        <v>186</v>
      </c>
      <c r="F857" s="14">
        <v>8</v>
      </c>
    </row>
    <row r="858" spans="3:6" x14ac:dyDescent="0.25">
      <c r="C858" t="s">
        <v>46</v>
      </c>
      <c r="F858" s="14">
        <v>4</v>
      </c>
    </row>
    <row r="859" spans="3:6" x14ac:dyDescent="0.25">
      <c r="C859" t="s">
        <v>40</v>
      </c>
      <c r="F859" s="14">
        <v>1</v>
      </c>
    </row>
    <row r="860" spans="3:6" x14ac:dyDescent="0.25">
      <c r="C860" t="s">
        <v>88</v>
      </c>
      <c r="F860" s="14">
        <v>12</v>
      </c>
    </row>
    <row r="861" spans="3:6" x14ac:dyDescent="0.25">
      <c r="C861" t="s">
        <v>187</v>
      </c>
      <c r="F861" s="14">
        <v>2</v>
      </c>
    </row>
    <row r="862" spans="3:6" x14ac:dyDescent="0.25">
      <c r="C862" t="s">
        <v>607</v>
      </c>
      <c r="F862" s="14">
        <v>24</v>
      </c>
    </row>
    <row r="863" spans="3:6" x14ac:dyDescent="0.25">
      <c r="C863" t="s">
        <v>506</v>
      </c>
      <c r="F863" s="14">
        <v>2</v>
      </c>
    </row>
    <row r="864" spans="3:6" x14ac:dyDescent="0.25">
      <c r="F864" s="14">
        <f>SUM(F846:F863)</f>
        <v>128</v>
      </c>
    </row>
    <row r="866" spans="2:6" x14ac:dyDescent="0.25">
      <c r="B866" s="12">
        <f>'P. Nova'!B133</f>
        <v>114</v>
      </c>
      <c r="C866" s="12" t="str">
        <f>'P. Nova'!C133</f>
        <v>101879 (SINAPI)</v>
      </c>
      <c r="D866" s="12" t="str">
        <f>'P. Nova'!D133</f>
        <v>Quadro elétrico de distribuição 24 disj - Checar Item</v>
      </c>
      <c r="E866" s="12" t="str">
        <f>'P. Nova'!E133</f>
        <v>unid</v>
      </c>
      <c r="F866" s="13">
        <f>F869</f>
        <v>1</v>
      </c>
    </row>
    <row r="868" spans="2:6" x14ac:dyDescent="0.25">
      <c r="F868" t="s">
        <v>29</v>
      </c>
    </row>
    <row r="869" spans="2:6" x14ac:dyDescent="0.25">
      <c r="D869" s="14"/>
      <c r="E869" s="14"/>
      <c r="F869" s="14">
        <v>1</v>
      </c>
    </row>
    <row r="871" spans="2:6" x14ac:dyDescent="0.25">
      <c r="B871" s="12">
        <f>'P. Nova'!B134</f>
        <v>115</v>
      </c>
      <c r="C871" s="12" t="str">
        <f>'P. Nova'!C134</f>
        <v>39763 (SINAPI)</v>
      </c>
      <c r="D871" s="12" t="str">
        <f>'P. Nova'!D134</f>
        <v>Quadro elétrico de distribuição 48 disj - Checar Item</v>
      </c>
      <c r="E871" s="12" t="str">
        <f>'P. Nova'!E134</f>
        <v>unid</v>
      </c>
      <c r="F871" s="13">
        <f>F874</f>
        <v>1</v>
      </c>
    </row>
    <row r="873" spans="2:6" x14ac:dyDescent="0.25">
      <c r="F873" t="s">
        <v>29</v>
      </c>
    </row>
    <row r="874" spans="2:6" x14ac:dyDescent="0.25">
      <c r="D874" s="14"/>
      <c r="E874" s="14"/>
      <c r="F874" s="14">
        <v>1</v>
      </c>
    </row>
    <row r="876" spans="2:6" x14ac:dyDescent="0.25">
      <c r="B876" s="12">
        <f>'P. Nova'!B135</f>
        <v>116</v>
      </c>
      <c r="C876" s="12" t="str">
        <f>'P. Nova'!C135</f>
        <v>15.007.0605-0</v>
      </c>
      <c r="D876" s="12" t="str">
        <f>'P. Nova'!D135</f>
        <v>Disjuntor Tripolar de 80 a 100A</v>
      </c>
      <c r="E876" s="12" t="str">
        <f>'P. Nova'!E135</f>
        <v>unid</v>
      </c>
      <c r="F876" s="13">
        <f>F879</f>
        <v>3</v>
      </c>
    </row>
    <row r="878" spans="2:6" x14ac:dyDescent="0.25">
      <c r="F878" t="s">
        <v>29</v>
      </c>
    </row>
    <row r="879" spans="2:6" x14ac:dyDescent="0.25">
      <c r="D879" s="14"/>
      <c r="E879" s="14"/>
      <c r="F879" s="14">
        <v>3</v>
      </c>
    </row>
    <row r="881" spans="2:6" x14ac:dyDescent="0.25">
      <c r="B881" s="12">
        <f>'P. Nova'!B136</f>
        <v>117</v>
      </c>
      <c r="C881" s="12" t="str">
        <f>'P. Nova'!C136</f>
        <v>93655 (SINAPI)</v>
      </c>
      <c r="D881" s="12" t="str">
        <f>'P. Nova'!D136</f>
        <v>Disjuntor monopolar 20A</v>
      </c>
      <c r="E881" s="12" t="str">
        <f>'P. Nova'!E136</f>
        <v>unid</v>
      </c>
      <c r="F881" s="13">
        <f>F884</f>
        <v>9</v>
      </c>
    </row>
    <row r="883" spans="2:6" x14ac:dyDescent="0.25">
      <c r="F883" t="s">
        <v>29</v>
      </c>
    </row>
    <row r="884" spans="2:6" x14ac:dyDescent="0.25">
      <c r="D884" s="14"/>
      <c r="E884" s="14"/>
      <c r="F884" s="14">
        <v>9</v>
      </c>
    </row>
    <row r="886" spans="2:6" x14ac:dyDescent="0.25">
      <c r="B886" s="12">
        <f>'P. Nova'!B137</f>
        <v>118</v>
      </c>
      <c r="C886" s="12" t="str">
        <f>'P. Nova'!C137</f>
        <v>93663 (SINAPI)</v>
      </c>
      <c r="D886" s="12" t="str">
        <f>'P. Nova'!D137</f>
        <v>Disjuntor bipolar 25A</v>
      </c>
      <c r="E886" s="12" t="str">
        <f>'P. Nova'!E137</f>
        <v>unid</v>
      </c>
      <c r="F886" s="13">
        <f>F889</f>
        <v>27</v>
      </c>
    </row>
    <row r="888" spans="2:6" x14ac:dyDescent="0.25">
      <c r="F888" t="s">
        <v>29</v>
      </c>
    </row>
    <row r="889" spans="2:6" x14ac:dyDescent="0.25">
      <c r="D889" s="14"/>
      <c r="E889" s="14"/>
      <c r="F889" s="14">
        <v>27</v>
      </c>
    </row>
    <row r="891" spans="2:6" x14ac:dyDescent="0.25">
      <c r="B891" s="12">
        <f>'P. Nova'!B138</f>
        <v>119</v>
      </c>
      <c r="C891" s="12" t="str">
        <f>'P. Nova'!C138</f>
        <v>15.018.0325-0</v>
      </c>
      <c r="D891" s="12" t="str">
        <f>'P. Nova'!D138</f>
        <v>Caixa de passagem 40x40cm de embutir</v>
      </c>
      <c r="E891" s="12" t="str">
        <f>'P. Nova'!E138</f>
        <v>unid</v>
      </c>
      <c r="F891" s="13">
        <f>F894</f>
        <v>4</v>
      </c>
    </row>
    <row r="893" spans="2:6" x14ac:dyDescent="0.25">
      <c r="F893" t="s">
        <v>29</v>
      </c>
    </row>
    <row r="894" spans="2:6" x14ac:dyDescent="0.25">
      <c r="D894" s="14"/>
      <c r="E894" s="14"/>
      <c r="F894" s="14">
        <v>4</v>
      </c>
    </row>
    <row r="896" spans="2:6" x14ac:dyDescent="0.25">
      <c r="B896" s="12">
        <f>'P. Nova'!B139</f>
        <v>120</v>
      </c>
      <c r="C896" s="12" t="str">
        <f>'P. Nova'!C139</f>
        <v>15.008.0085-0</v>
      </c>
      <c r="D896" s="12" t="str">
        <f>'P. Nova'!D139</f>
        <v>Fio 2,5mm</v>
      </c>
      <c r="E896" s="12" t="str">
        <f>'P. Nova'!E139</f>
        <v>m</v>
      </c>
      <c r="F896" s="13">
        <f>F899</f>
        <v>500</v>
      </c>
    </row>
    <row r="898" spans="2:6" x14ac:dyDescent="0.25">
      <c r="F898" t="s">
        <v>29</v>
      </c>
    </row>
    <row r="899" spans="2:6" x14ac:dyDescent="0.25">
      <c r="D899" s="14"/>
      <c r="E899" s="14"/>
      <c r="F899" s="14">
        <v>500</v>
      </c>
    </row>
    <row r="901" spans="2:6" x14ac:dyDescent="0.25">
      <c r="B901" s="12">
        <f>'P. Nova'!B140</f>
        <v>121</v>
      </c>
      <c r="C901" s="12" t="str">
        <f>'P. Nova'!C140</f>
        <v>15.008.0090-0</v>
      </c>
      <c r="D901" s="12" t="str">
        <f>'P. Nova'!D140</f>
        <v>Fio 4,0mm</v>
      </c>
      <c r="E901" s="12" t="str">
        <f>'P. Nova'!E140</f>
        <v>m</v>
      </c>
      <c r="F901" s="13">
        <f>F904</f>
        <v>500</v>
      </c>
    </row>
    <row r="903" spans="2:6" x14ac:dyDescent="0.25">
      <c r="F903" t="s">
        <v>29</v>
      </c>
    </row>
    <row r="904" spans="2:6" x14ac:dyDescent="0.25">
      <c r="D904" s="14"/>
      <c r="E904" s="14"/>
      <c r="F904" s="14">
        <v>500</v>
      </c>
    </row>
    <row r="906" spans="2:6" x14ac:dyDescent="0.25">
      <c r="B906" s="12">
        <f>'P. Nova'!B141</f>
        <v>122</v>
      </c>
      <c r="C906" s="12" t="str">
        <f>'P. Nova'!C141</f>
        <v>15.008.0110-0</v>
      </c>
      <c r="D906" s="12" t="str">
        <f>'P. Nova'!D141</f>
        <v>Fio 25mm</v>
      </c>
      <c r="E906" s="12" t="str">
        <f>'P. Nova'!E141</f>
        <v>m</v>
      </c>
      <c r="F906" s="13">
        <f>F909</f>
        <v>200</v>
      </c>
    </row>
    <row r="908" spans="2:6" x14ac:dyDescent="0.25">
      <c r="F908" t="s">
        <v>29</v>
      </c>
    </row>
    <row r="909" spans="2:6" x14ac:dyDescent="0.25">
      <c r="D909" s="14"/>
      <c r="E909" s="14"/>
      <c r="F909" s="14">
        <v>200</v>
      </c>
    </row>
    <row r="910" spans="2:6" x14ac:dyDescent="0.25">
      <c r="D910" s="14"/>
      <c r="E910" s="14"/>
      <c r="F910" s="14"/>
    </row>
    <row r="911" spans="2:6" x14ac:dyDescent="0.25">
      <c r="B911" s="12">
        <f>'P. Nova'!B142</f>
        <v>123</v>
      </c>
      <c r="C911" s="12" t="str">
        <f>'P. Nova'!C142</f>
        <v>15.004.0126-0</v>
      </c>
      <c r="D911" s="8" t="str">
        <f>'P. Nova'!D142</f>
        <v>Inst. E assentamento vaso sanitário conj de 2 ou mais pav elevado</v>
      </c>
      <c r="E911" s="12" t="str">
        <f>'P. Nova'!E142</f>
        <v>unid</v>
      </c>
      <c r="F911" s="13">
        <f>G914</f>
        <v>2</v>
      </c>
    </row>
    <row r="913" spans="2:7" x14ac:dyDescent="0.25">
      <c r="G913" t="s">
        <v>29</v>
      </c>
    </row>
    <row r="914" spans="2:7" x14ac:dyDescent="0.25">
      <c r="D914" s="14"/>
      <c r="E914" s="14"/>
      <c r="G914" s="14">
        <v>2</v>
      </c>
    </row>
    <row r="915" spans="2:7" x14ac:dyDescent="0.25">
      <c r="D915" s="14"/>
      <c r="E915" s="14"/>
      <c r="F915" s="14"/>
    </row>
    <row r="916" spans="2:7" x14ac:dyDescent="0.25">
      <c r="B916" s="12">
        <f>'P. Nova'!B143</f>
        <v>124</v>
      </c>
      <c r="C916" s="12" t="str">
        <f>'P. Nova'!C143</f>
        <v>15.004.0110-0</v>
      </c>
      <c r="D916" s="12" t="str">
        <f>'P. Nova'!D143</f>
        <v>Inst. E assentamento vaso sanitário pav térreo</v>
      </c>
      <c r="E916" s="12" t="str">
        <f>'P. Nova'!E143</f>
        <v>unid</v>
      </c>
      <c r="F916" s="13">
        <f>G919</f>
        <v>1</v>
      </c>
    </row>
    <row r="918" spans="2:7" x14ac:dyDescent="0.25">
      <c r="G918" t="s">
        <v>29</v>
      </c>
    </row>
    <row r="919" spans="2:7" x14ac:dyDescent="0.25">
      <c r="D919" s="14"/>
      <c r="E919" s="14"/>
      <c r="G919" s="14">
        <v>1</v>
      </c>
    </row>
    <row r="920" spans="2:7" x14ac:dyDescent="0.25">
      <c r="D920" s="14"/>
      <c r="E920" s="14"/>
      <c r="F920" s="14"/>
    </row>
    <row r="921" spans="2:7" x14ac:dyDescent="0.25">
      <c r="B921" s="12">
        <f>'P. Nova'!B144</f>
        <v>125</v>
      </c>
      <c r="C921" s="12" t="str">
        <f>'P. Nova'!C144</f>
        <v>18.002.0090-0</v>
      </c>
      <c r="D921" s="12" t="str">
        <f>'P. Nova'!D144</f>
        <v>Vaso sanitário PNE</v>
      </c>
      <c r="E921" s="12" t="str">
        <f>'P. Nova'!E144</f>
        <v>unid</v>
      </c>
      <c r="F921" s="13">
        <f>G924</f>
        <v>1</v>
      </c>
    </row>
    <row r="923" spans="2:7" x14ac:dyDescent="0.25">
      <c r="G923" t="s">
        <v>29</v>
      </c>
    </row>
    <row r="924" spans="2:7" x14ac:dyDescent="0.25">
      <c r="D924" s="14"/>
      <c r="E924" s="14"/>
      <c r="G924" s="14">
        <v>1</v>
      </c>
    </row>
    <row r="925" spans="2:7" x14ac:dyDescent="0.25">
      <c r="D925" s="14"/>
      <c r="E925" s="14"/>
      <c r="G925" s="14"/>
    </row>
    <row r="926" spans="2:7" x14ac:dyDescent="0.25">
      <c r="B926" s="12">
        <f>'P. Nova'!B145</f>
        <v>126</v>
      </c>
      <c r="C926" s="12" t="str">
        <f>'P. Nova'!C145</f>
        <v>18.002.0070-0</v>
      </c>
      <c r="D926" s="12" t="str">
        <f>'P. Nova'!D145</f>
        <v>Vaso sanitário comum</v>
      </c>
      <c r="E926" s="12" t="str">
        <f>'P. Nova'!E145</f>
        <v>unid</v>
      </c>
      <c r="F926" s="13">
        <f>G929</f>
        <v>4</v>
      </c>
    </row>
    <row r="928" spans="2:7" x14ac:dyDescent="0.25">
      <c r="G928" t="s">
        <v>29</v>
      </c>
    </row>
    <row r="929" spans="2:7" x14ac:dyDescent="0.25">
      <c r="D929" s="14"/>
      <c r="E929" s="14"/>
      <c r="G929" s="14">
        <v>4</v>
      </c>
    </row>
    <row r="930" spans="2:7" x14ac:dyDescent="0.25">
      <c r="D930" s="14"/>
      <c r="E930" s="14"/>
      <c r="G930" s="14"/>
    </row>
    <row r="931" spans="2:7" x14ac:dyDescent="0.25">
      <c r="B931" s="12">
        <f>'P. Nova'!B146</f>
        <v>127</v>
      </c>
      <c r="C931" s="12" t="str">
        <f>'P. Nova'!C146</f>
        <v>18.002.0055-0</v>
      </c>
      <c r="D931" s="12" t="str">
        <f>'P. Nova'!D146</f>
        <v>Mictorório</v>
      </c>
      <c r="E931" s="12" t="str">
        <f>'P. Nova'!E146</f>
        <v>unid</v>
      </c>
      <c r="F931" s="13">
        <f>G934</f>
        <v>1</v>
      </c>
    </row>
    <row r="933" spans="2:7" x14ac:dyDescent="0.25">
      <c r="G933" t="s">
        <v>29</v>
      </c>
    </row>
    <row r="934" spans="2:7" x14ac:dyDescent="0.25">
      <c r="D934" s="14"/>
      <c r="E934" s="14"/>
      <c r="G934" s="14">
        <v>1</v>
      </c>
    </row>
    <row r="935" spans="2:7" x14ac:dyDescent="0.25">
      <c r="D935" s="14"/>
      <c r="E935" s="14"/>
      <c r="G935" s="14"/>
    </row>
    <row r="936" spans="2:7" x14ac:dyDescent="0.25">
      <c r="B936" s="12">
        <f>'P. Nova'!B147</f>
        <v>128</v>
      </c>
      <c r="C936" s="12" t="str">
        <f>'P. Nova'!C147</f>
        <v>15.004.0050-0</v>
      </c>
      <c r="D936" s="12" t="str">
        <f>'P. Nova'!D147</f>
        <v>Inst. Mictório</v>
      </c>
      <c r="E936" s="12" t="str">
        <f>'P. Nova'!E147</f>
        <v>unid</v>
      </c>
      <c r="F936" s="13">
        <f>G939</f>
        <v>1</v>
      </c>
    </row>
    <row r="938" spans="2:7" x14ac:dyDescent="0.25">
      <c r="G938" t="s">
        <v>29</v>
      </c>
    </row>
    <row r="939" spans="2:7" x14ac:dyDescent="0.25">
      <c r="D939" s="14"/>
      <c r="E939" s="14"/>
      <c r="G939" s="14">
        <v>1</v>
      </c>
    </row>
    <row r="940" spans="2:7" x14ac:dyDescent="0.25">
      <c r="D940" s="14"/>
      <c r="E940" s="14"/>
      <c r="G940" s="14"/>
    </row>
    <row r="941" spans="2:7" x14ac:dyDescent="0.25">
      <c r="B941" s="12">
        <f>'P. Nova'!B148</f>
        <v>129</v>
      </c>
      <c r="C941" s="12" t="str">
        <f>'P. Nova'!C148</f>
        <v>15.004.0104-0</v>
      </c>
      <c r="D941" s="12" t="str">
        <f>'P. Nova'!D148</f>
        <v>Inst. E assentamento vaso sanitário pav elevado</v>
      </c>
      <c r="E941" s="12" t="str">
        <f>'P. Nova'!E148</f>
        <v>unid</v>
      </c>
      <c r="F941" s="13">
        <f>G944</f>
        <v>2</v>
      </c>
    </row>
    <row r="943" spans="2:7" x14ac:dyDescent="0.25">
      <c r="G943" t="s">
        <v>29</v>
      </c>
    </row>
    <row r="944" spans="2:7" x14ac:dyDescent="0.25">
      <c r="D944" s="14"/>
      <c r="E944" s="14"/>
      <c r="G944" s="14">
        <v>2</v>
      </c>
    </row>
    <row r="945" spans="2:7" x14ac:dyDescent="0.25">
      <c r="D945" s="14"/>
      <c r="E945" s="14"/>
      <c r="G945" s="14"/>
    </row>
    <row r="946" spans="2:7" x14ac:dyDescent="0.25">
      <c r="B946" s="12">
        <f>'P. Nova'!B149</f>
        <v>130</v>
      </c>
      <c r="C946" s="12" t="str">
        <f>'P. Nova'!C149</f>
        <v>86919 (SINAPI)</v>
      </c>
      <c r="D946" s="12" t="str">
        <f>'P. Nova'!D149</f>
        <v>Tanque de louça brancoo</v>
      </c>
      <c r="E946" s="12" t="str">
        <f>'P. Nova'!E149</f>
        <v>unid</v>
      </c>
      <c r="F946" s="13">
        <f>G949</f>
        <v>1</v>
      </c>
    </row>
    <row r="948" spans="2:7" x14ac:dyDescent="0.25">
      <c r="G948" t="s">
        <v>29</v>
      </c>
    </row>
    <row r="949" spans="2:7" x14ac:dyDescent="0.25">
      <c r="D949" s="14"/>
      <c r="E949" s="14"/>
      <c r="G949" s="14">
        <v>1</v>
      </c>
    </row>
    <row r="950" spans="2:7" x14ac:dyDescent="0.25">
      <c r="D950" s="14"/>
      <c r="E950" s="14"/>
      <c r="G950" s="14"/>
    </row>
    <row r="951" spans="2:7" x14ac:dyDescent="0.25">
      <c r="B951" s="12">
        <f>'P. Nova'!B150</f>
        <v>131</v>
      </c>
      <c r="C951" s="12" t="str">
        <f>'P. Nova'!C150</f>
        <v>18.0216.0027-0</v>
      </c>
      <c r="D951" s="12" t="str">
        <f>'P. Nova'!D150</f>
        <v>Tanque inox</v>
      </c>
      <c r="E951" s="12" t="str">
        <f>'P. Nova'!E150</f>
        <v>unid</v>
      </c>
      <c r="F951" s="13">
        <f>G954</f>
        <v>2</v>
      </c>
    </row>
    <row r="953" spans="2:7" x14ac:dyDescent="0.25">
      <c r="G953" t="s">
        <v>29</v>
      </c>
    </row>
    <row r="954" spans="2:7" x14ac:dyDescent="0.25">
      <c r="D954" s="14"/>
      <c r="E954" s="14"/>
      <c r="G954" s="14">
        <v>2</v>
      </c>
    </row>
    <row r="955" spans="2:7" x14ac:dyDescent="0.25">
      <c r="D955" s="14"/>
      <c r="E955" s="14"/>
      <c r="G955" s="14"/>
    </row>
    <row r="956" spans="2:7" x14ac:dyDescent="0.25">
      <c r="B956" s="12">
        <f>'P. Nova'!B151</f>
        <v>132</v>
      </c>
      <c r="C956" s="12" t="str">
        <f>'P. Nova'!C151</f>
        <v>18.0002.0014-0</v>
      </c>
      <c r="D956" s="12" t="str">
        <f>'P. Nova'!D151</f>
        <v>Lavatório PNE</v>
      </c>
      <c r="E956" s="12" t="str">
        <f>'P. Nova'!E151</f>
        <v>unid</v>
      </c>
      <c r="F956" s="13">
        <f>G959</f>
        <v>1</v>
      </c>
    </row>
    <row r="958" spans="2:7" x14ac:dyDescent="0.25">
      <c r="G958" t="s">
        <v>29</v>
      </c>
    </row>
    <row r="959" spans="2:7" x14ac:dyDescent="0.25">
      <c r="D959" s="14"/>
      <c r="E959" s="14"/>
      <c r="G959" s="14">
        <v>1</v>
      </c>
    </row>
    <row r="960" spans="2:7" x14ac:dyDescent="0.25">
      <c r="D960" s="14"/>
      <c r="E960" s="14"/>
      <c r="G960" s="14"/>
    </row>
    <row r="961" spans="2:7" x14ac:dyDescent="0.25">
      <c r="B961" s="12">
        <f>'P. Nova'!B152</f>
        <v>133</v>
      </c>
      <c r="C961" s="12" t="str">
        <f>'P. Nova'!C152</f>
        <v>18.0002.0027-0</v>
      </c>
      <c r="D961" s="12" t="str">
        <f>'P. Nova'!D152</f>
        <v>Lavatório de louça branca de imbutir</v>
      </c>
      <c r="E961" s="12" t="str">
        <f>'P. Nova'!E152</f>
        <v>unid</v>
      </c>
      <c r="F961" s="13">
        <f>G964</f>
        <v>5</v>
      </c>
    </row>
    <row r="963" spans="2:7" x14ac:dyDescent="0.25">
      <c r="G963" t="s">
        <v>29</v>
      </c>
    </row>
    <row r="964" spans="2:7" x14ac:dyDescent="0.25">
      <c r="D964" s="14"/>
      <c r="E964" s="14"/>
      <c r="G964" s="14">
        <v>5</v>
      </c>
    </row>
    <row r="965" spans="2:7" x14ac:dyDescent="0.25">
      <c r="D965" s="14"/>
      <c r="E965" s="14"/>
      <c r="G965" s="14"/>
    </row>
    <row r="966" spans="2:7" x14ac:dyDescent="0.25">
      <c r="B966" s="12">
        <f>'P. Nova'!B153</f>
        <v>134</v>
      </c>
      <c r="C966" s="12" t="str">
        <f>'P. Nova'!C153</f>
        <v>1750 (SINAPI)</v>
      </c>
      <c r="D966" s="12" t="str">
        <f>'P. Nova'!D153</f>
        <v>Bancada de aço com duas cubas - Cozinha</v>
      </c>
      <c r="E966" s="12" t="str">
        <f>'P. Nova'!E153</f>
        <v>unid</v>
      </c>
      <c r="F966" s="13">
        <f>G969</f>
        <v>1</v>
      </c>
    </row>
    <row r="968" spans="2:7" x14ac:dyDescent="0.25">
      <c r="G968" t="s">
        <v>29</v>
      </c>
    </row>
    <row r="969" spans="2:7" x14ac:dyDescent="0.25">
      <c r="D969" s="14"/>
      <c r="E969" s="14"/>
      <c r="G969" s="14">
        <v>1</v>
      </c>
    </row>
    <row r="970" spans="2:7" x14ac:dyDescent="0.25">
      <c r="D970" s="14"/>
      <c r="E970" s="14"/>
      <c r="G970" s="14"/>
    </row>
    <row r="971" spans="2:7" x14ac:dyDescent="0.25">
      <c r="B971" s="12">
        <f>'P. Nova'!B154</f>
        <v>135</v>
      </c>
      <c r="C971" s="12" t="str">
        <f>'P. Nova'!C154</f>
        <v>86889 (SINAPI)</v>
      </c>
      <c r="D971" s="12" t="str">
        <f>'P. Nova'!D154</f>
        <v>Bancada de granito</v>
      </c>
      <c r="E971" s="12" t="str">
        <f>'P. Nova'!E154</f>
        <v>unid</v>
      </c>
      <c r="F971" s="13">
        <f>G974</f>
        <v>3</v>
      </c>
    </row>
    <row r="973" spans="2:7" x14ac:dyDescent="0.25">
      <c r="G973" t="s">
        <v>29</v>
      </c>
    </row>
    <row r="974" spans="2:7" x14ac:dyDescent="0.25">
      <c r="D974" s="14"/>
      <c r="E974" s="14"/>
      <c r="G974" s="14">
        <v>3</v>
      </c>
    </row>
    <row r="975" spans="2:7" x14ac:dyDescent="0.25">
      <c r="D975" s="14"/>
      <c r="E975" s="14"/>
      <c r="G975" s="14"/>
    </row>
    <row r="976" spans="2:7" x14ac:dyDescent="0.25">
      <c r="B976" s="12">
        <f>'P. Nova'!B155</f>
        <v>136</v>
      </c>
      <c r="C976" s="12" t="str">
        <f>'P. Nova'!C155</f>
        <v>18.084.0020-0</v>
      </c>
      <c r="D976" s="12" t="str">
        <f>'P. Nova'!D155</f>
        <v>Banca seca de granito</v>
      </c>
      <c r="E976" s="12" t="str">
        <f>'P. Nova'!E155</f>
        <v>m</v>
      </c>
      <c r="F976" s="13">
        <f>G979</f>
        <v>3</v>
      </c>
    </row>
    <row r="978" spans="2:7" x14ac:dyDescent="0.25">
      <c r="G978" t="s">
        <v>29</v>
      </c>
    </row>
    <row r="979" spans="2:7" x14ac:dyDescent="0.25">
      <c r="D979" s="14"/>
      <c r="E979" s="14"/>
      <c r="G979" s="14">
        <v>3</v>
      </c>
    </row>
    <row r="980" spans="2:7" x14ac:dyDescent="0.25">
      <c r="D980" s="14"/>
      <c r="E980" s="14"/>
      <c r="G980" s="14"/>
    </row>
    <row r="981" spans="2:7" x14ac:dyDescent="0.25">
      <c r="B981" s="12">
        <f>'P. Nova'!B156</f>
        <v>137</v>
      </c>
      <c r="C981" s="12" t="str">
        <f>'P. Nova'!C156</f>
        <v>86910 (SINAPI)</v>
      </c>
      <c r="D981" s="12" t="str">
        <f>'P. Nova'!D156</f>
        <v>Torneira cozinha</v>
      </c>
      <c r="E981" s="12" t="str">
        <f>'P. Nova'!E156</f>
        <v>unid</v>
      </c>
      <c r="F981" s="13">
        <f>G984</f>
        <v>2</v>
      </c>
    </row>
    <row r="983" spans="2:7" x14ac:dyDescent="0.25">
      <c r="G983" t="s">
        <v>29</v>
      </c>
    </row>
    <row r="984" spans="2:7" x14ac:dyDescent="0.25">
      <c r="D984" s="14"/>
      <c r="E984" s="14"/>
      <c r="G984" s="14">
        <v>2</v>
      </c>
    </row>
    <row r="985" spans="2:7" x14ac:dyDescent="0.25">
      <c r="D985" s="14"/>
      <c r="E985" s="14"/>
      <c r="G985" s="14"/>
    </row>
    <row r="986" spans="2:7" x14ac:dyDescent="0.25">
      <c r="B986" s="12">
        <f>'P. Nova'!B157</f>
        <v>138</v>
      </c>
      <c r="C986" s="12" t="str">
        <f>'P. Nova'!C157</f>
        <v>18.027.0045-0</v>
      </c>
      <c r="D986" s="12" t="str">
        <f>'P. Nova'!D157</f>
        <v>Luminária de emergência de sobrepor</v>
      </c>
      <c r="E986" s="12" t="str">
        <f>'P. Nova'!E157</f>
        <v>unid</v>
      </c>
      <c r="F986" s="13">
        <f>G989</f>
        <v>10</v>
      </c>
    </row>
    <row r="988" spans="2:7" x14ac:dyDescent="0.25">
      <c r="G988" t="s">
        <v>29</v>
      </c>
    </row>
    <row r="989" spans="2:7" x14ac:dyDescent="0.25">
      <c r="D989" s="14"/>
      <c r="E989" s="14"/>
      <c r="G989" s="14">
        <v>10</v>
      </c>
    </row>
    <row r="990" spans="2:7" x14ac:dyDescent="0.25">
      <c r="D990" s="14"/>
      <c r="E990" s="14"/>
      <c r="G990" s="14"/>
    </row>
    <row r="991" spans="2:7" x14ac:dyDescent="0.25">
      <c r="B991" s="12">
        <f>'P. Nova'!B158</f>
        <v>139</v>
      </c>
      <c r="C991" s="12" t="str">
        <f>'P. Nova'!C158</f>
        <v>18.027.0470-0</v>
      </c>
      <c r="D991" s="8" t="str">
        <f>'P. Nova'!D158</f>
        <v>LUMINARIA DE SOBREPOR, FIXADA EM LAJE OU FORRO, TIPO CALHA, CHANFRADA OU PRISMATICA, COMPLETA, COM LAMPADA LED TUBULAR DE 1 X 9W. FORNECIMENTO E COLOCACAO</v>
      </c>
      <c r="E991" s="12" t="str">
        <f>'P. Nova'!E158</f>
        <v>unid</v>
      </c>
      <c r="F991" s="13">
        <f>G994</f>
        <v>189</v>
      </c>
    </row>
    <row r="993" spans="2:7" x14ac:dyDescent="0.25">
      <c r="E993" t="s">
        <v>452</v>
      </c>
      <c r="F993" t="s">
        <v>450</v>
      </c>
      <c r="G993" t="s">
        <v>29</v>
      </c>
    </row>
    <row r="994" spans="2:7" x14ac:dyDescent="0.25">
      <c r="B994" t="s">
        <v>449</v>
      </c>
      <c r="C994" t="s">
        <v>451</v>
      </c>
      <c r="D994" s="14"/>
      <c r="E994" s="14">
        <f>F819</f>
        <v>63</v>
      </c>
      <c r="F994">
        <v>3</v>
      </c>
      <c r="G994" s="14">
        <f>E994*F994</f>
        <v>189</v>
      </c>
    </row>
    <row r="995" spans="2:7" x14ac:dyDescent="0.25">
      <c r="D995" s="14"/>
      <c r="E995" s="14"/>
      <c r="G995" s="14"/>
    </row>
    <row r="996" spans="2:7" x14ac:dyDescent="0.25">
      <c r="B996" s="12">
        <f>'P. Nova'!B159</f>
        <v>140</v>
      </c>
      <c r="C996" s="12" t="str">
        <f>'P. Nova'!C159</f>
        <v>18.007.0049-0</v>
      </c>
      <c r="D996" s="8" t="str">
        <f>'P. Nova'!D159</f>
        <v>CHUVEIRO ELETRICO,EM PLASTICO,DE 110/220V.FORNECIMENTO</v>
      </c>
      <c r="E996" s="12" t="str">
        <f>'P. Nova'!E159</f>
        <v>unid</v>
      </c>
      <c r="F996" s="13">
        <f>G999</f>
        <v>3</v>
      </c>
    </row>
    <row r="998" spans="2:7" x14ac:dyDescent="0.25">
      <c r="G998" t="s">
        <v>29</v>
      </c>
    </row>
    <row r="999" spans="2:7" x14ac:dyDescent="0.25">
      <c r="B999" t="s">
        <v>449</v>
      </c>
      <c r="C999" t="s">
        <v>457</v>
      </c>
      <c r="D999" s="14"/>
      <c r="E999" s="14"/>
      <c r="G999" s="14">
        <v>3</v>
      </c>
    </row>
    <row r="1000" spans="2:7" x14ac:dyDescent="0.25">
      <c r="D1000" s="14"/>
      <c r="E1000" s="14"/>
      <c r="G1000" s="14"/>
    </row>
    <row r="1001" spans="2:7" x14ac:dyDescent="0.25">
      <c r="B1001" s="12">
        <f>'P. Nova'!B160</f>
        <v>141</v>
      </c>
      <c r="C1001" s="12" t="str">
        <f>'P. Nova'!C160</f>
        <v>15.004.0046-0</v>
      </c>
      <c r="D1001" s="12" t="str">
        <f>'P. Nova'!D160</f>
        <v xml:space="preserve">INSTALACAO E ASSENTAMENTO DE CHUVEIRO ELETRICO </v>
      </c>
      <c r="E1001" s="12" t="str">
        <f>'P. Nova'!E160</f>
        <v>unid</v>
      </c>
      <c r="F1001" s="13">
        <f>G1004</f>
        <v>3</v>
      </c>
    </row>
    <row r="1003" spans="2:7" x14ac:dyDescent="0.25">
      <c r="G1003" t="s">
        <v>29</v>
      </c>
    </row>
    <row r="1004" spans="2:7" x14ac:dyDescent="0.25">
      <c r="B1004" t="s">
        <v>449</v>
      </c>
      <c r="C1004" t="s">
        <v>458</v>
      </c>
      <c r="D1004" s="14"/>
      <c r="E1004" s="14"/>
      <c r="G1004" s="14">
        <f>F996</f>
        <v>3</v>
      </c>
    </row>
    <row r="1005" spans="2:7" x14ac:dyDescent="0.25">
      <c r="D1005" s="14"/>
      <c r="E1005" s="14"/>
      <c r="G1005" s="14"/>
    </row>
    <row r="1006" spans="2:7" x14ac:dyDescent="0.25">
      <c r="B1006" s="12">
        <f>'P. Nova'!B161</f>
        <v>142</v>
      </c>
      <c r="C1006" s="12" t="str">
        <f>'P. Nova'!C161</f>
        <v>15.004.0090-0</v>
      </c>
      <c r="D1006" s="8" t="str">
        <f>'P. Nova'!D161</f>
        <v>INSTALACAO E COLOCACAO DE TORNEIRA PARA JARDIM OU DE LAVAGEM</v>
      </c>
      <c r="E1006" s="12" t="str">
        <f>'P. Nova'!E161</f>
        <v>unid</v>
      </c>
      <c r="F1006" s="13">
        <f>G1009</f>
        <v>5</v>
      </c>
    </row>
    <row r="1008" spans="2:7" x14ac:dyDescent="0.25">
      <c r="G1008" t="s">
        <v>29</v>
      </c>
    </row>
    <row r="1009" spans="2:7" x14ac:dyDescent="0.25">
      <c r="B1009" t="s">
        <v>449</v>
      </c>
      <c r="C1009" t="s">
        <v>467</v>
      </c>
      <c r="D1009" s="14"/>
      <c r="E1009" s="14"/>
      <c r="G1009" s="14">
        <f>F1011</f>
        <v>5</v>
      </c>
    </row>
    <row r="1010" spans="2:7" x14ac:dyDescent="0.25">
      <c r="D1010" s="14"/>
      <c r="E1010" s="14"/>
      <c r="G1010" s="14"/>
    </row>
    <row r="1011" spans="2:7" x14ac:dyDescent="0.25">
      <c r="B1011" s="12">
        <f>'P. Nova'!B162</f>
        <v>143</v>
      </c>
      <c r="C1011" s="12" t="str">
        <f>'P. Nova'!C162</f>
        <v>18.009.0079-0</v>
      </c>
      <c r="D1011" s="12" t="str">
        <f>'P. Nova'!D162</f>
        <v>TORNEIRA PARA JARDIM,DE 1/2"</v>
      </c>
      <c r="E1011" s="12" t="str">
        <f>'P. Nova'!E162</f>
        <v>unid</v>
      </c>
      <c r="F1011" s="13">
        <f>G1014</f>
        <v>5</v>
      </c>
    </row>
    <row r="1013" spans="2:7" x14ac:dyDescent="0.25">
      <c r="G1013" t="s">
        <v>29</v>
      </c>
    </row>
    <row r="1014" spans="2:7" x14ac:dyDescent="0.25">
      <c r="B1014" t="s">
        <v>449</v>
      </c>
      <c r="C1014" t="s">
        <v>468</v>
      </c>
      <c r="D1014" s="14"/>
      <c r="E1014" s="14"/>
      <c r="G1014" s="14">
        <v>5</v>
      </c>
    </row>
    <row r="1015" spans="2:7" x14ac:dyDescent="0.25">
      <c r="D1015" s="14"/>
      <c r="E1015" s="14"/>
      <c r="G1015" s="14"/>
    </row>
    <row r="1016" spans="2:7" x14ac:dyDescent="0.25">
      <c r="B1016" s="12">
        <f>'P. Nova'!B163</f>
        <v>144</v>
      </c>
      <c r="C1016" s="12" t="str">
        <f>'P. Nova'!C163</f>
        <v>18.027.0097-0</v>
      </c>
      <c r="D1016" s="8" t="str">
        <f>'P. Nova'!D163</f>
        <v>LUMINARIA FECHADA (REFLETOR),PARA ILUMINACAO DE QUADRAS DE ESPORTES E AFINS,PARA LAMPADA LED DE 100W,INCLUSIVE ESTA.FORNECIMENTO E COLOCACAO</v>
      </c>
      <c r="E1016" s="12" t="str">
        <f>'P. Nova'!E163</f>
        <v>unid</v>
      </c>
      <c r="F1016" s="13">
        <f>G1019</f>
        <v>44</v>
      </c>
    </row>
    <row r="1018" spans="2:7" x14ac:dyDescent="0.25">
      <c r="G1018" t="s">
        <v>29</v>
      </c>
    </row>
    <row r="1019" spans="2:7" x14ac:dyDescent="0.25">
      <c r="B1019" t="s">
        <v>449</v>
      </c>
      <c r="D1019" s="14"/>
      <c r="E1019" s="14"/>
      <c r="G1019" s="14">
        <v>44</v>
      </c>
    </row>
    <row r="1020" spans="2:7" x14ac:dyDescent="0.25">
      <c r="D1020" s="14"/>
      <c r="E1020" s="14"/>
      <c r="G1020" s="14"/>
    </row>
    <row r="1021" spans="2:7" x14ac:dyDescent="0.25">
      <c r="B1021" s="12">
        <f>'P. Nova'!B164</f>
        <v>145</v>
      </c>
      <c r="C1021" s="12">
        <f>'P. Nova'!C164</f>
        <v>89957</v>
      </c>
      <c r="D1021" s="8" t="str">
        <f>'P. Nova'!D164</f>
        <v>PONTO DE CONSUMO TERMINAL DE ÁGUA FRIA (SUBRAMAL) COM TUBULAÇÃO DE PVC, DN 25 MM, INSTALADO EM RAMAL DE ÁGUA, INCLUSOS RASGO E CHUMBAMENTO EM ALVENARIA. AF_12/2014</v>
      </c>
      <c r="E1021" s="12" t="str">
        <f>'P. Nova'!E164</f>
        <v>unid</v>
      </c>
      <c r="F1021" s="13">
        <f>G1024</f>
        <v>2</v>
      </c>
    </row>
    <row r="1023" spans="2:7" x14ac:dyDescent="0.25">
      <c r="G1023" t="s">
        <v>29</v>
      </c>
    </row>
    <row r="1024" spans="2:7" x14ac:dyDescent="0.25">
      <c r="B1024" t="s">
        <v>449</v>
      </c>
      <c r="C1024" t="s">
        <v>506</v>
      </c>
      <c r="D1024" s="14"/>
      <c r="E1024" s="14"/>
      <c r="G1024" s="14">
        <v>2</v>
      </c>
    </row>
    <row r="1025" spans="2:7" x14ac:dyDescent="0.25">
      <c r="D1025" s="14"/>
      <c r="E1025" s="14"/>
      <c r="G1025" s="14"/>
    </row>
    <row r="1026" spans="2:7" x14ac:dyDescent="0.25">
      <c r="B1026" s="12">
        <f>'P. Nova'!B165</f>
        <v>146</v>
      </c>
      <c r="C1026" s="12" t="str">
        <f>'P. Nova'!C165</f>
        <v>15.036.0031-0</v>
      </c>
      <c r="D1026" s="8" t="str">
        <f>'P. Nova'!D165</f>
        <v>TUBO DE PVC RIGIDO DE 50MM,SOLDAVEL,EXCLUSIVE CONEXOES,EMENDAS,ABERTURA E FECHAMENTO DE RASGO.FORNECIMENTO E ASSENTAMENTO</v>
      </c>
      <c r="E1026" s="12" t="str">
        <f>'P. Nova'!E165</f>
        <v>m</v>
      </c>
      <c r="F1026" s="13">
        <f>G1029</f>
        <v>30</v>
      </c>
    </row>
    <row r="1028" spans="2:7" x14ac:dyDescent="0.25">
      <c r="G1028" t="s">
        <v>29</v>
      </c>
    </row>
    <row r="1029" spans="2:7" x14ac:dyDescent="0.25">
      <c r="B1029" t="s">
        <v>449</v>
      </c>
      <c r="C1029" t="s">
        <v>516</v>
      </c>
      <c r="D1029" s="14"/>
      <c r="E1029" s="14"/>
      <c r="G1029" s="14">
        <v>30</v>
      </c>
    </row>
    <row r="1030" spans="2:7" x14ac:dyDescent="0.25">
      <c r="D1030" s="14"/>
      <c r="E1030" s="14"/>
      <c r="G1030" s="14"/>
    </row>
    <row r="1031" spans="2:7" x14ac:dyDescent="0.25">
      <c r="B1031" s="12">
        <f>'P. Nova'!B166</f>
        <v>147</v>
      </c>
      <c r="C1031" s="12">
        <f>'P. Nova'!C166</f>
        <v>103987</v>
      </c>
      <c r="D1031" s="8" t="str">
        <f>'P. Nova'!D166</f>
        <v>CURVA 45 GRAUS, PVC, SOLDÁVEL, DN 50MM, INSTALADO EM RAMAL DE DISTRIBUIÇÃO DE ÁGUA - FORNECIMENTO E INSTALAÇÃO. AF_06/2022</v>
      </c>
      <c r="E1031" s="12" t="str">
        <f>'P. Nova'!E166</f>
        <v>unid</v>
      </c>
      <c r="F1031" s="13">
        <f>G1034</f>
        <v>10</v>
      </c>
    </row>
    <row r="1033" spans="2:7" x14ac:dyDescent="0.25">
      <c r="G1033" t="s">
        <v>29</v>
      </c>
    </row>
    <row r="1034" spans="2:7" x14ac:dyDescent="0.25">
      <c r="B1034" t="s">
        <v>449</v>
      </c>
      <c r="C1034" t="s">
        <v>516</v>
      </c>
      <c r="D1034" s="14"/>
      <c r="E1034" s="14"/>
      <c r="G1034" s="14">
        <v>10</v>
      </c>
    </row>
    <row r="1035" spans="2:7" x14ac:dyDescent="0.25">
      <c r="D1035" s="14"/>
      <c r="E1035" s="14"/>
      <c r="G1035" s="14"/>
    </row>
    <row r="1036" spans="2:7" x14ac:dyDescent="0.25">
      <c r="B1036" s="12">
        <f>'P. Nova'!B167</f>
        <v>148</v>
      </c>
      <c r="C1036" s="12">
        <f>'P. Nova'!C167</f>
        <v>103986</v>
      </c>
      <c r="D1036" s="8" t="str">
        <f>'P. Nova'!D167</f>
        <v>CURVA 90 GRAUS, PVC, SOLDÁVEL, DN 50MM, INSTALADO EM RAMAL DE DISTRIBUIÇÃO DE ÁGUA - FORNECIMENTO E INSTALAÇÃO. AF_06/2022</v>
      </c>
      <c r="E1036" s="12" t="str">
        <f>'P. Nova'!E167</f>
        <v>unid</v>
      </c>
      <c r="F1036" s="13">
        <f>G1039</f>
        <v>10</v>
      </c>
    </row>
    <row r="1038" spans="2:7" x14ac:dyDescent="0.25">
      <c r="G1038" t="s">
        <v>29</v>
      </c>
    </row>
    <row r="1039" spans="2:7" x14ac:dyDescent="0.25">
      <c r="B1039" t="s">
        <v>449</v>
      </c>
      <c r="C1039" t="s">
        <v>516</v>
      </c>
      <c r="D1039" s="14"/>
      <c r="E1039" s="14"/>
      <c r="G1039" s="14">
        <v>10</v>
      </c>
    </row>
    <row r="1040" spans="2:7" x14ac:dyDescent="0.25">
      <c r="D1040" s="14"/>
      <c r="E1040" s="14"/>
      <c r="G1040" s="14"/>
    </row>
    <row r="1041" spans="2:7" x14ac:dyDescent="0.25">
      <c r="B1041" s="12">
        <f>'P. Nova'!B168</f>
        <v>149</v>
      </c>
      <c r="C1041" s="12" t="str">
        <f>'P. Nova'!C168</f>
        <v>06.272.0021-0</v>
      </c>
      <c r="D1041" s="8" t="str">
        <f>'P. Nova'!D168</f>
        <v>CURVA DE PVC PARA REDE DE ESGOTO,CONFORME ABNT NBR 10569,DE 45�,PB,COM DIAMETRO NOMINAL DE 100MM,INCLUSIVE ANEL DE BORRACHA.FORNECIMENTO</v>
      </c>
      <c r="E1041" s="12" t="str">
        <f>'P. Nova'!E168</f>
        <v>unid</v>
      </c>
      <c r="F1041" s="13">
        <f>G1044</f>
        <v>30</v>
      </c>
    </row>
    <row r="1043" spans="2:7" x14ac:dyDescent="0.25">
      <c r="G1043" t="s">
        <v>29</v>
      </c>
    </row>
    <row r="1044" spans="2:7" x14ac:dyDescent="0.25">
      <c r="B1044" t="s">
        <v>449</v>
      </c>
      <c r="C1044" t="s">
        <v>522</v>
      </c>
      <c r="D1044" s="14"/>
      <c r="E1044" s="14"/>
      <c r="G1044" s="14">
        <v>30</v>
      </c>
    </row>
    <row r="1045" spans="2:7" x14ac:dyDescent="0.25">
      <c r="D1045" s="14"/>
      <c r="E1045" s="14"/>
      <c r="G1045" s="14"/>
    </row>
    <row r="1046" spans="2:7" x14ac:dyDescent="0.25">
      <c r="B1046" s="12">
        <f>'P. Nova'!B169</f>
        <v>150</v>
      </c>
      <c r="C1046" s="12" t="str">
        <f>'P. Nova'!C169</f>
        <v>06.272.0026-0</v>
      </c>
      <c r="D1046" s="8" t="str">
        <f>'P. Nova'!D169</f>
        <v>CURVA DE PVC PARA REDE DE ESGOTO,CONFORME ABNT NBR 10569,DE 90�,PB,COM DIAMETRO NOMINAL DE 100MM,INCLUSIVE ANEL DE BORRACHA.FORNECIMENTO</v>
      </c>
      <c r="E1046" s="12" t="str">
        <f>'P. Nova'!E169</f>
        <v>unid</v>
      </c>
      <c r="F1046" s="13">
        <f>G1049</f>
        <v>5</v>
      </c>
    </row>
    <row r="1048" spans="2:7" x14ac:dyDescent="0.25">
      <c r="G1048" t="s">
        <v>29</v>
      </c>
    </row>
    <row r="1049" spans="2:7" x14ac:dyDescent="0.25">
      <c r="B1049" t="s">
        <v>449</v>
      </c>
      <c r="C1049" t="s">
        <v>522</v>
      </c>
      <c r="D1049" s="14"/>
      <c r="E1049" s="14"/>
      <c r="G1049" s="14">
        <v>5</v>
      </c>
    </row>
    <row r="1050" spans="2:7" x14ac:dyDescent="0.25">
      <c r="D1050" s="14"/>
      <c r="E1050" s="14"/>
      <c r="G1050" s="14"/>
    </row>
    <row r="1051" spans="2:7" x14ac:dyDescent="0.25">
      <c r="B1051" s="12">
        <f>'P. Nova'!B170</f>
        <v>151</v>
      </c>
      <c r="C1051" s="12">
        <f>'P. Nova'!C170</f>
        <v>5116</v>
      </c>
      <c r="D1051" s="8" t="str">
        <f>'P. Nova'!D170</f>
        <v>TUBO DE PVC PARA ESGOTO, REFORCADO, PONTA E BOLSA, INCLUSIVE ANEL DE BORRACHA, ABNT-NBR 7362, DE 100MM</v>
      </c>
      <c r="E1051" s="12" t="str">
        <f>'P. Nova'!E170</f>
        <v>m</v>
      </c>
      <c r="F1051" s="13">
        <f>G1054</f>
        <v>100</v>
      </c>
    </row>
    <row r="1053" spans="2:7" x14ac:dyDescent="0.25">
      <c r="G1053" t="s">
        <v>29</v>
      </c>
    </row>
    <row r="1054" spans="2:7" x14ac:dyDescent="0.25">
      <c r="B1054" t="s">
        <v>449</v>
      </c>
      <c r="C1054" t="s">
        <v>522</v>
      </c>
      <c r="D1054" s="14"/>
      <c r="E1054" s="14"/>
      <c r="G1054" s="14">
        <v>100</v>
      </c>
    </row>
    <row r="1055" spans="2:7" x14ac:dyDescent="0.25">
      <c r="D1055" s="14"/>
      <c r="E1055" s="14"/>
      <c r="G1055" s="14"/>
    </row>
    <row r="1056" spans="2:7" x14ac:dyDescent="0.25">
      <c r="B1056" s="12">
        <f>'P. Nova'!B171</f>
        <v>152</v>
      </c>
      <c r="C1056" s="12">
        <f>'P. Nova'!C171</f>
        <v>10117</v>
      </c>
      <c r="D1056" s="8" t="str">
        <f>'P. Nova'!D171</f>
        <v>TUBO FERRO FUNDIDO CENTRIF.DUCTIL.P/CANALIZ.SOB PRES.OU GRAVIT.NORMA ABNT NBR 15.420,INCL.ANEL BOR.NITRILICO,DIAM.100MM</v>
      </c>
      <c r="E1056" s="12" t="str">
        <f>'P. Nova'!E171</f>
        <v>m</v>
      </c>
      <c r="F1056" s="13">
        <f>G1059</f>
        <v>40</v>
      </c>
    </row>
    <row r="1058" spans="2:7" x14ac:dyDescent="0.25">
      <c r="G1058" t="s">
        <v>29</v>
      </c>
    </row>
    <row r="1059" spans="2:7" x14ac:dyDescent="0.25">
      <c r="B1059" t="s">
        <v>449</v>
      </c>
      <c r="C1059" t="s">
        <v>524</v>
      </c>
      <c r="D1059" s="14"/>
      <c r="E1059" s="14"/>
      <c r="G1059" s="14">
        <v>40</v>
      </c>
    </row>
    <row r="1060" spans="2:7" x14ac:dyDescent="0.25">
      <c r="D1060" s="14"/>
      <c r="E1060" s="14"/>
      <c r="G1060" s="14"/>
    </row>
    <row r="1061" spans="2:7" x14ac:dyDescent="0.25">
      <c r="B1061" s="12">
        <f>'P. Nova'!B172</f>
        <v>153</v>
      </c>
      <c r="C1061" s="12" t="str">
        <f>'P. Nova'!C172</f>
        <v>IT 15.20.0250 (/)</v>
      </c>
      <c r="D1061" s="8" t="str">
        <f>'P. Nova'!D172</f>
        <v>Joelho de ferro fundido, 87o 30', J87HL, diametro de 100mm. Fornecimento e instalacao.</v>
      </c>
      <c r="E1061" s="12" t="str">
        <f>'P. Nova'!E172</f>
        <v>unid</v>
      </c>
      <c r="F1061" s="13">
        <f>G1064</f>
        <v>30</v>
      </c>
    </row>
    <row r="1063" spans="2:7" x14ac:dyDescent="0.25">
      <c r="G1063" t="s">
        <v>29</v>
      </c>
    </row>
    <row r="1064" spans="2:7" x14ac:dyDescent="0.25">
      <c r="B1064" t="s">
        <v>449</v>
      </c>
      <c r="C1064" t="s">
        <v>524</v>
      </c>
      <c r="D1064" s="14"/>
      <c r="E1064" s="14"/>
      <c r="G1064" s="14">
        <v>30</v>
      </c>
    </row>
    <row r="1065" spans="2:7" x14ac:dyDescent="0.25">
      <c r="D1065" s="14"/>
      <c r="E1065" s="14"/>
      <c r="G1065" s="14"/>
    </row>
    <row r="1066" spans="2:7" x14ac:dyDescent="0.25">
      <c r="B1066" s="12">
        <f>'P. Nova'!B173</f>
        <v>154</v>
      </c>
      <c r="C1066" s="12" t="str">
        <f>'P. Nova'!C173</f>
        <v>18.016.0130-0</v>
      </c>
      <c r="D1066" s="8" t="str">
        <f>'P. Nova'!D173</f>
        <v>BARRA DE APOIO FIXA AO PISO,EM ACO INOXIDAVEL AISI 304,TUBO DE 1.1/4",INCLUSIVE FIXACAO COM PARAFUSOS INOXIDAVEIS E BUCHAS PLASTICAS,COM 75X80CM,PARA PESSOAS COM NECESSIDADES ESPECIFICAS.FORNECIMENTO E COLOCACAO</v>
      </c>
      <c r="E1066" s="12" t="str">
        <f>'P. Nova'!E173</f>
        <v>unid</v>
      </c>
      <c r="F1066" s="13">
        <f>G1069</f>
        <v>2</v>
      </c>
    </row>
    <row r="1068" spans="2:7" x14ac:dyDescent="0.25">
      <c r="G1068" t="s">
        <v>29</v>
      </c>
    </row>
    <row r="1069" spans="2:7" x14ac:dyDescent="0.25">
      <c r="B1069" t="s">
        <v>449</v>
      </c>
      <c r="C1069" t="s">
        <v>539</v>
      </c>
      <c r="D1069" s="14"/>
      <c r="E1069" s="14"/>
      <c r="G1069" s="14">
        <v>2</v>
      </c>
    </row>
    <row r="1070" spans="2:7" x14ac:dyDescent="0.25">
      <c r="D1070" s="14"/>
      <c r="E1070" s="14"/>
      <c r="G1070" s="14"/>
    </row>
    <row r="1071" spans="2:7" ht="15.75" x14ac:dyDescent="0.25">
      <c r="B1071" s="65" t="s">
        <v>266</v>
      </c>
      <c r="C1071" s="65"/>
      <c r="D1071" s="65"/>
      <c r="E1071" s="65"/>
      <c r="F1071" s="65"/>
      <c r="G1071" s="65"/>
    </row>
    <row r="1072" spans="2:7" x14ac:dyDescent="0.25">
      <c r="B1072" s="12">
        <f>'P. Nova'!B176</f>
        <v>155</v>
      </c>
      <c r="C1072" s="12" t="str">
        <f>'P. Nova'!C176</f>
        <v>05.105.0130-0</v>
      </c>
      <c r="D1072" s="8" t="str">
        <f>'P. Nova'!D176</f>
        <v>MAO-DE-OBRA DE ENGENHEIRO OU ARQUITETO JR.,INCLUSIVE ENCARGOS SOCIAIS</v>
      </c>
      <c r="E1072" s="12" t="str">
        <f>'P. Nova'!E176</f>
        <v>mês</v>
      </c>
      <c r="F1072" s="13">
        <f>F1075</f>
        <v>6</v>
      </c>
    </row>
    <row r="1074" spans="2:6" x14ac:dyDescent="0.25">
      <c r="F1074" t="s">
        <v>29</v>
      </c>
    </row>
    <row r="1075" spans="2:6" x14ac:dyDescent="0.25">
      <c r="C1075" t="s">
        <v>272</v>
      </c>
      <c r="F1075" s="13">
        <v>6</v>
      </c>
    </row>
    <row r="1077" spans="2:6" x14ac:dyDescent="0.25">
      <c r="B1077" s="12">
        <f>'P. Nova'!B177</f>
        <v>156</v>
      </c>
      <c r="C1077" s="12" t="str">
        <f>'P. Nova'!C177</f>
        <v>05.105.0129-0</v>
      </c>
      <c r="D1077" s="12" t="str">
        <f>'P. Nova'!D177</f>
        <v>Mestre de obras</v>
      </c>
      <c r="E1077" s="12" t="str">
        <f>'P. Nova'!E177</f>
        <v>mês</v>
      </c>
      <c r="F1077" s="13">
        <f>F1080</f>
        <v>6</v>
      </c>
    </row>
    <row r="1079" spans="2:6" x14ac:dyDescent="0.25">
      <c r="F1079" t="s">
        <v>29</v>
      </c>
    </row>
    <row r="1080" spans="2:6" x14ac:dyDescent="0.25">
      <c r="C1080" t="s">
        <v>273</v>
      </c>
      <c r="F1080" s="13">
        <v>6</v>
      </c>
    </row>
    <row r="1082" spans="2:6" x14ac:dyDescent="0.25">
      <c r="B1082" s="12">
        <f>'P. Nova'!B178</f>
        <v>157</v>
      </c>
      <c r="C1082" s="12" t="str">
        <f>'P. Nova'!C178</f>
        <v>05.105.0127-0</v>
      </c>
      <c r="D1082" s="12" t="str">
        <f>'P. Nova'!D178</f>
        <v>Encarregado</v>
      </c>
      <c r="E1082" s="12" t="str">
        <f>'P. Nova'!E178</f>
        <v>mês</v>
      </c>
      <c r="F1082" s="13">
        <f>F1085</f>
        <v>12</v>
      </c>
    </row>
    <row r="1084" spans="2:6" x14ac:dyDescent="0.25">
      <c r="F1084" t="s">
        <v>29</v>
      </c>
    </row>
    <row r="1085" spans="2:6" x14ac:dyDescent="0.25">
      <c r="C1085" t="s">
        <v>271</v>
      </c>
      <c r="F1085" s="13">
        <v>12</v>
      </c>
    </row>
    <row r="1087" spans="2:6" x14ac:dyDescent="0.25">
      <c r="B1087" s="12">
        <f>'P. Nova'!B179</f>
        <v>158</v>
      </c>
      <c r="C1087" s="12" t="str">
        <f>'P. Nova'!C179</f>
        <v>05.105.0126-0</v>
      </c>
      <c r="D1087" s="8" t="str">
        <f>'P. Nova'!D179</f>
        <v>MAO-DE-OBRA DE FEITOR (ENCARREGADO DE TURMA),INCLUSIVE ENCARGOS SOCIAIS</v>
      </c>
      <c r="E1087" s="12" t="str">
        <f>'P. Nova'!E179</f>
        <v>mês</v>
      </c>
      <c r="F1087" s="14">
        <f>F1090</f>
        <v>18</v>
      </c>
    </row>
    <row r="1089" spans="2:6" x14ac:dyDescent="0.25">
      <c r="F1089" t="s">
        <v>29</v>
      </c>
    </row>
    <row r="1090" spans="2:6" x14ac:dyDescent="0.25">
      <c r="C1090" t="s">
        <v>278</v>
      </c>
      <c r="F1090" s="13">
        <v>18</v>
      </c>
    </row>
    <row r="1091" spans="2:6" x14ac:dyDescent="0.25">
      <c r="F1091" s="13"/>
    </row>
    <row r="1092" spans="2:6" x14ac:dyDescent="0.25">
      <c r="B1092" s="12">
        <f>'P. Nova'!B180</f>
        <v>159</v>
      </c>
      <c r="C1092" s="12" t="str">
        <f>'P. Nova'!C180</f>
        <v>05.105.0122-0</v>
      </c>
      <c r="D1092" s="12" t="str">
        <f>'P. Nova'!D180</f>
        <v>Almoxarife</v>
      </c>
      <c r="E1092" s="12" t="str">
        <f>'P. Nova'!E180</f>
        <v>mês</v>
      </c>
      <c r="F1092" s="13">
        <f>F1095</f>
        <v>6</v>
      </c>
    </row>
    <row r="1094" spans="2:6" x14ac:dyDescent="0.25">
      <c r="F1094" t="s">
        <v>29</v>
      </c>
    </row>
    <row r="1095" spans="2:6" x14ac:dyDescent="0.25">
      <c r="C1095" t="s">
        <v>278</v>
      </c>
      <c r="F1095" s="13">
        <v>6</v>
      </c>
    </row>
    <row r="1097" spans="2:6" x14ac:dyDescent="0.25">
      <c r="B1097" s="12">
        <f>'P. Nova'!B181</f>
        <v>160</v>
      </c>
      <c r="C1097" s="12" t="str">
        <f>'P. Nova'!C181</f>
        <v>05.105.0121-0</v>
      </c>
      <c r="D1097" s="12" t="str">
        <f>'P. Nova'!D181</f>
        <v>Apontador</v>
      </c>
      <c r="E1097" s="12" t="str">
        <f>'P. Nova'!E181</f>
        <v>mês</v>
      </c>
      <c r="F1097" s="13">
        <f>F1100</f>
        <v>6</v>
      </c>
    </row>
    <row r="1099" spans="2:6" x14ac:dyDescent="0.25">
      <c r="F1099" t="s">
        <v>29</v>
      </c>
    </row>
    <row r="1100" spans="2:6" x14ac:dyDescent="0.25">
      <c r="C1100" t="s">
        <v>277</v>
      </c>
      <c r="F1100" s="13">
        <v>6</v>
      </c>
    </row>
    <row r="1102" spans="2:6" x14ac:dyDescent="0.25">
      <c r="B1102" s="12">
        <f>'P. Nova'!B182</f>
        <v>161</v>
      </c>
      <c r="C1102" s="12" t="str">
        <f>'P. Nova'!C182</f>
        <v>05.105.0114-0</v>
      </c>
      <c r="D1102" s="12" t="str">
        <f>'P. Nova'!D182</f>
        <v>Servente</v>
      </c>
      <c r="E1102" s="12" t="str">
        <f>'P. Nova'!E182</f>
        <v>mês</v>
      </c>
      <c r="F1102" s="13">
        <f>F1105</f>
        <v>2</v>
      </c>
    </row>
    <row r="1104" spans="2:6" x14ac:dyDescent="0.25">
      <c r="F1104" t="s">
        <v>29</v>
      </c>
    </row>
    <row r="1105" spans="2:7" x14ac:dyDescent="0.25">
      <c r="C1105" t="s">
        <v>527</v>
      </c>
      <c r="F1105" s="13">
        <v>2</v>
      </c>
    </row>
    <row r="1107" spans="2:7" x14ac:dyDescent="0.25">
      <c r="B1107" s="12">
        <f>'P. Nova'!B183</f>
        <v>162</v>
      </c>
      <c r="C1107" s="12" t="str">
        <f>'P. Nova'!C183</f>
        <v>05.105.0112-0</v>
      </c>
      <c r="D1107" s="12" t="str">
        <f>'P. Nova'!D183</f>
        <v>Eletricista</v>
      </c>
      <c r="E1107" s="12" t="str">
        <f>'P. Nova'!E183</f>
        <v>mês</v>
      </c>
      <c r="F1107" s="13">
        <f>F1110</f>
        <v>6</v>
      </c>
    </row>
    <row r="1109" spans="2:7" x14ac:dyDescent="0.25">
      <c r="F1109" t="s">
        <v>29</v>
      </c>
    </row>
    <row r="1110" spans="2:7" x14ac:dyDescent="0.25">
      <c r="F1110" s="13">
        <v>6</v>
      </c>
    </row>
    <row r="1112" spans="2:7" x14ac:dyDescent="0.25">
      <c r="B1112" s="12">
        <f>'P. Nova'!B184</f>
        <v>163</v>
      </c>
      <c r="C1112" s="12" t="str">
        <f>'P. Nova'!C184</f>
        <v>05.105.0110-0</v>
      </c>
      <c r="D1112" s="12" t="str">
        <f>'P. Nova'!D184</f>
        <v>Bombeiro Hidráulico</v>
      </c>
      <c r="E1112" s="12" t="str">
        <f>'P. Nova'!E184</f>
        <v>mês</v>
      </c>
      <c r="F1112" s="13">
        <f>F1115</f>
        <v>6</v>
      </c>
    </row>
    <row r="1114" spans="2:7" x14ac:dyDescent="0.25">
      <c r="F1114" t="s">
        <v>29</v>
      </c>
    </row>
    <row r="1115" spans="2:7" x14ac:dyDescent="0.25">
      <c r="F1115" s="13">
        <v>6</v>
      </c>
    </row>
    <row r="1117" spans="2:7" ht="15.75" x14ac:dyDescent="0.25">
      <c r="B1117" s="65" t="s">
        <v>413</v>
      </c>
      <c r="C1117" s="65"/>
      <c r="D1117" s="65"/>
      <c r="E1117" s="65"/>
      <c r="F1117" s="65"/>
      <c r="G1117" s="65"/>
    </row>
    <row r="1118" spans="2:7" x14ac:dyDescent="0.25">
      <c r="B1118" s="12">
        <f>'P. Nova'!B187</f>
        <v>164</v>
      </c>
      <c r="C1118" s="12" t="str">
        <f>'P. Nova'!C187</f>
        <v>18.033.0018-0</v>
      </c>
      <c r="D1118" s="8" t="str">
        <f>'P. Nova'!D187</f>
        <v>SISTEMA DE PRESSURIZACAO,COM 02 BOMBAS CENTRIFUGAS DE 5CV/220V,INCLUSIVE TUBULACOES DE SUCCAO,RECALQUE E DISTRIBUICAO COM CONEXOES,PRESSOSTATO,MANOMETRO,TANQUE DE PRESSAO,QUADRO DECOMANDO,EXCLUSIVE CASA DE MAQUINAS (VIDE ITEM 18.024.0050).FORNECIMENTO E INSTALACAO</v>
      </c>
      <c r="E1118" s="12" t="str">
        <f>'P. Nova'!E187</f>
        <v>unid</v>
      </c>
      <c r="F1118" s="13">
        <f>F1121</f>
        <v>1</v>
      </c>
    </row>
    <row r="1120" spans="2:7" x14ac:dyDescent="0.25">
      <c r="F1120" t="s">
        <v>29</v>
      </c>
    </row>
    <row r="1121" spans="2:6" x14ac:dyDescent="0.25">
      <c r="F1121" s="13">
        <v>1</v>
      </c>
    </row>
    <row r="1123" spans="2:6" x14ac:dyDescent="0.25">
      <c r="B1123" s="12">
        <f>'P. Nova'!B188</f>
        <v>165</v>
      </c>
      <c r="C1123" s="12" t="str">
        <f>'P. Nova'!C188</f>
        <v>18.024.0050-0</v>
      </c>
      <c r="D1123" s="12" t="str">
        <f>'P. Nova'!D188</f>
        <v>CASA DE MAQUINA DE INCENDIO</v>
      </c>
      <c r="E1123" s="12" t="str">
        <f>'P. Nova'!E188</f>
        <v>unid</v>
      </c>
      <c r="F1123" s="13">
        <f>F1126</f>
        <v>1</v>
      </c>
    </row>
    <row r="1125" spans="2:6" x14ac:dyDescent="0.25">
      <c r="F1125" t="s">
        <v>29</v>
      </c>
    </row>
    <row r="1126" spans="2:6" x14ac:dyDescent="0.25">
      <c r="F1126" s="13">
        <v>1</v>
      </c>
    </row>
    <row r="1128" spans="2:6" x14ac:dyDescent="0.25">
      <c r="B1128" s="12">
        <f>'P. Nova'!B189</f>
        <v>166</v>
      </c>
      <c r="C1128" s="12">
        <f>'P. Nova'!C189</f>
        <v>101912</v>
      </c>
      <c r="D1128" s="8" t="str">
        <f>'P. Nova'!D189</f>
        <v>ABRIGO PARA HIDRANTE, 75X45X17CM, COM REGISTRO GLOBO ANGULAR 45 GRAUS 2 1/2", ADAPTADOR STORZ 2 1/2", MANGUEIRA DE INCÊNDIO 15M 2 1/2" E ESGUICHO EM LATÃO 2 1/2" - FORNECIMENTO E INSTALAÇÃO. AF_10/2020</v>
      </c>
      <c r="E1128" s="12" t="str">
        <f>'P. Nova'!E189</f>
        <v>unid</v>
      </c>
      <c r="F1128" s="13">
        <f>F1131</f>
        <v>3</v>
      </c>
    </row>
    <row r="1130" spans="2:6" x14ac:dyDescent="0.25">
      <c r="F1130" t="s">
        <v>29</v>
      </c>
    </row>
    <row r="1131" spans="2:6" x14ac:dyDescent="0.25">
      <c r="F1131" s="13">
        <v>3</v>
      </c>
    </row>
    <row r="1133" spans="2:6" x14ac:dyDescent="0.25">
      <c r="B1133" s="12">
        <f>'P. Nova'!B190</f>
        <v>167</v>
      </c>
      <c r="C1133" s="12" t="str">
        <f>'P. Nova'!C190</f>
        <v>17.040.0050-0</v>
      </c>
      <c r="D1133" s="8" t="str">
        <f>'P. Nova'!D190</f>
        <v>PINTURA DE SINALIZACAO DE SOLO PARA EQUIPAMENTOS DE COMBATE A INCENDIO</v>
      </c>
      <c r="E1133" s="12" t="str">
        <f>'P. Nova'!E190</f>
        <v>unid</v>
      </c>
      <c r="F1133" s="14">
        <f>F1136</f>
        <v>23</v>
      </c>
    </row>
    <row r="1135" spans="2:6" x14ac:dyDescent="0.25">
      <c r="F1135" t="s">
        <v>29</v>
      </c>
    </row>
    <row r="1136" spans="2:6" x14ac:dyDescent="0.25">
      <c r="F1136" s="13">
        <f>F1138+F1128</f>
        <v>23</v>
      </c>
    </row>
    <row r="1138" spans="2:6" x14ac:dyDescent="0.25">
      <c r="B1138" s="12">
        <f>'P. Nova'!B191</f>
        <v>168</v>
      </c>
      <c r="C1138" s="12" t="str">
        <f>'P. Nova'!C191</f>
        <v>18.032.0045-0</v>
      </c>
      <c r="D1138" s="12" t="str">
        <f>'P. Nova'!D191</f>
        <v>SUPORTE DE SOLO PARA EXTINTOR DE INCENDIO PORTATIL</v>
      </c>
      <c r="E1138" s="12" t="str">
        <f>'P. Nova'!E191</f>
        <v>unid</v>
      </c>
      <c r="F1138" s="14">
        <f>F1141</f>
        <v>20</v>
      </c>
    </row>
    <row r="1140" spans="2:6" x14ac:dyDescent="0.25">
      <c r="F1140" t="s">
        <v>29</v>
      </c>
    </row>
    <row r="1141" spans="2:6" x14ac:dyDescent="0.25">
      <c r="F1141" s="13">
        <v>20</v>
      </c>
    </row>
    <row r="1143" spans="2:6" x14ac:dyDescent="0.25">
      <c r="B1143" s="12">
        <f>'P. Nova'!B192</f>
        <v>169</v>
      </c>
      <c r="C1143" s="12">
        <f>'P. Nova'!C192</f>
        <v>101905</v>
      </c>
      <c r="D1143" s="8" t="str">
        <f>'P. Nova'!D192</f>
        <v>EXTINTOR DE INCÊNDIO PORTÁTIL COM CARGA DE ÁGUA PRESSURIZADA DE 10 L</v>
      </c>
      <c r="E1143" s="12" t="str">
        <f>'P. Nova'!E192</f>
        <v>unid</v>
      </c>
      <c r="F1143" s="14">
        <f>F1146</f>
        <v>10</v>
      </c>
    </row>
    <row r="1145" spans="2:6" x14ac:dyDescent="0.25">
      <c r="F1145" t="s">
        <v>29</v>
      </c>
    </row>
    <row r="1146" spans="2:6" x14ac:dyDescent="0.25">
      <c r="F1146" s="13">
        <v>10</v>
      </c>
    </row>
    <row r="1148" spans="2:6" x14ac:dyDescent="0.25">
      <c r="B1148" s="12">
        <f>'P. Nova'!B193</f>
        <v>170</v>
      </c>
      <c r="C1148" s="12">
        <f>'P. Nova'!C193</f>
        <v>101906</v>
      </c>
      <c r="D1148" s="8" t="str">
        <f>'P. Nova'!D193</f>
        <v>EXTINTOR DE INCÊNDIO PORTÁTIL COM CARGA DE CO2 DE 4 KG</v>
      </c>
      <c r="E1148" s="12" t="str">
        <f>'P. Nova'!E193</f>
        <v>unid</v>
      </c>
      <c r="F1148" s="14">
        <f>F1151</f>
        <v>10</v>
      </c>
    </row>
    <row r="1150" spans="2:6" x14ac:dyDescent="0.25">
      <c r="F1150" t="s">
        <v>29</v>
      </c>
    </row>
    <row r="1151" spans="2:6" x14ac:dyDescent="0.25">
      <c r="F1151" s="13">
        <v>10</v>
      </c>
    </row>
    <row r="1153" spans="2:11" x14ac:dyDescent="0.25">
      <c r="B1153" s="12">
        <f>'P. Nova'!B194</f>
        <v>171</v>
      </c>
      <c r="C1153" s="12">
        <f>'P. Nova'!C194</f>
        <v>13168</v>
      </c>
      <c r="D1153" s="8" t="str">
        <f>'P. Nova'!D194</f>
        <v>RESERVATORIO METALICO PARA AGUA POTAVELESTILO TACA AGUA TOTAL, COM CAPACIDADE PARA 50M3</v>
      </c>
      <c r="E1153" s="12" t="str">
        <f>'P. Nova'!E194</f>
        <v>unid</v>
      </c>
      <c r="F1153" s="14">
        <f>F1156</f>
        <v>0.2</v>
      </c>
    </row>
    <row r="1155" spans="2:11" x14ac:dyDescent="0.25">
      <c r="F1155" t="s">
        <v>29</v>
      </c>
    </row>
    <row r="1156" spans="2:11" x14ac:dyDescent="0.25">
      <c r="C1156" t="s">
        <v>502</v>
      </c>
      <c r="F1156" s="13">
        <v>0.2</v>
      </c>
    </row>
    <row r="1158" spans="2:11" ht="15.75" x14ac:dyDescent="0.25">
      <c r="B1158" s="65" t="s">
        <v>657</v>
      </c>
      <c r="C1158" s="65"/>
      <c r="D1158" s="65"/>
      <c r="E1158" s="65"/>
      <c r="F1158" s="65"/>
      <c r="G1158" s="65"/>
    </row>
    <row r="1160" spans="2:11" x14ac:dyDescent="0.25">
      <c r="D1160" t="s">
        <v>695</v>
      </c>
      <c r="E1160" s="55">
        <v>0.15</v>
      </c>
      <c r="F1160">
        <v>0.15</v>
      </c>
    </row>
    <row r="1162" spans="2:11" x14ac:dyDescent="0.25">
      <c r="B1162" s="12">
        <f>'P. Nova'!B197</f>
        <v>172</v>
      </c>
      <c r="C1162" s="12" t="str">
        <f>'P. Nova'!C197</f>
        <v>05.002.0013-0</v>
      </c>
      <c r="D1162" s="8" t="str">
        <f>'P. Nova'!D197</f>
        <v>DEMOLICAO COM EQUIPAMENTO DE AR COMPRIMIDO,DE CONCRETO ARMADO,VISANDO A EXPOSICAO OU RETIRADA DE ARMADURA</v>
      </c>
      <c r="E1162" s="12" t="str">
        <f>'P. Nova'!E197</f>
        <v>m³</v>
      </c>
      <c r="F1162" s="13">
        <f>K1171*F1160</f>
        <v>6.910215</v>
      </c>
    </row>
    <row r="1163" spans="2:11" x14ac:dyDescent="0.25">
      <c r="B1163" s="12"/>
      <c r="C1163" s="12"/>
      <c r="D1163" s="12"/>
      <c r="E1163" s="12"/>
      <c r="F1163" s="13"/>
    </row>
    <row r="1164" spans="2:11" x14ac:dyDescent="0.25">
      <c r="B1164" s="31"/>
      <c r="C1164" s="32" t="s">
        <v>658</v>
      </c>
      <c r="D1164" s="31"/>
      <c r="E1164" s="31" t="s">
        <v>659</v>
      </c>
      <c r="F1164" s="31"/>
      <c r="G1164" s="31" t="s">
        <v>660</v>
      </c>
      <c r="H1164" s="31"/>
      <c r="I1164" s="31" t="s">
        <v>661</v>
      </c>
      <c r="J1164" s="31"/>
      <c r="K1164" s="31" t="s">
        <v>662</v>
      </c>
    </row>
    <row r="1165" spans="2:11" x14ac:dyDescent="0.25">
      <c r="B1165" s="33" t="s">
        <v>663</v>
      </c>
      <c r="C1165" s="31">
        <v>29.5</v>
      </c>
      <c r="D1165" s="31" t="s">
        <v>664</v>
      </c>
      <c r="E1165" s="31">
        <v>11.93</v>
      </c>
      <c r="F1165" s="31" t="s">
        <v>664</v>
      </c>
      <c r="G1165" s="31">
        <v>0.05</v>
      </c>
      <c r="H1165" s="31" t="s">
        <v>664</v>
      </c>
      <c r="I1165" s="31">
        <v>2</v>
      </c>
      <c r="J1165" s="31" t="s">
        <v>665</v>
      </c>
      <c r="K1165" s="31">
        <f>C1165*E1165*G1165*I1165</f>
        <v>35.1935</v>
      </c>
    </row>
    <row r="1166" spans="2:11" x14ac:dyDescent="0.25">
      <c r="B1166" s="33"/>
      <c r="C1166" s="31" t="s">
        <v>659</v>
      </c>
      <c r="D1166" s="31"/>
      <c r="E1166" s="31" t="s">
        <v>666</v>
      </c>
      <c r="F1166" s="31"/>
      <c r="G1166" s="31" t="s">
        <v>660</v>
      </c>
      <c r="H1166" s="31"/>
      <c r="I1166" s="31" t="s">
        <v>661</v>
      </c>
      <c r="J1166" s="31"/>
      <c r="K1166" s="31"/>
    </row>
    <row r="1167" spans="2:11" x14ac:dyDescent="0.25">
      <c r="B1167" s="33" t="s">
        <v>667</v>
      </c>
      <c r="C1167" s="31">
        <f>29.5</f>
        <v>29.5</v>
      </c>
      <c r="D1167" s="31" t="s">
        <v>664</v>
      </c>
      <c r="E1167" s="31">
        <v>2.2000000000000002</v>
      </c>
      <c r="F1167" s="31" t="s">
        <v>664</v>
      </c>
      <c r="G1167" s="31">
        <v>0.05</v>
      </c>
      <c r="H1167" s="31" t="s">
        <v>664</v>
      </c>
      <c r="I1167" s="31">
        <v>2</v>
      </c>
      <c r="J1167" s="31" t="s">
        <v>665</v>
      </c>
      <c r="K1167" s="31">
        <f t="shared" ref="K1167:K1168" si="17">C1167*E1167*G1167*I1167</f>
        <v>6.4900000000000011</v>
      </c>
    </row>
    <row r="1168" spans="2:11" x14ac:dyDescent="0.25">
      <c r="B1168" s="33" t="s">
        <v>668</v>
      </c>
      <c r="C1168" s="31">
        <f>11.93</f>
        <v>11.93</v>
      </c>
      <c r="D1168" s="31" t="s">
        <v>664</v>
      </c>
      <c r="E1168" s="31">
        <v>2.2000000000000002</v>
      </c>
      <c r="F1168" s="31" t="s">
        <v>664</v>
      </c>
      <c r="G1168" s="31">
        <v>0.05</v>
      </c>
      <c r="H1168" s="31" t="s">
        <v>664</v>
      </c>
      <c r="I1168" s="31">
        <v>2</v>
      </c>
      <c r="J1168" s="31" t="s">
        <v>665</v>
      </c>
      <c r="K1168" s="31">
        <f t="shared" si="17"/>
        <v>2.6246000000000005</v>
      </c>
    </row>
    <row r="1169" spans="2:11" x14ac:dyDescent="0.25">
      <c r="B1169" s="33"/>
      <c r="C1169" s="31" t="s">
        <v>669</v>
      </c>
      <c r="D1169" s="31"/>
      <c r="E1169" s="31" t="s">
        <v>666</v>
      </c>
      <c r="F1169" s="31"/>
      <c r="G1169" s="31" t="s">
        <v>660</v>
      </c>
      <c r="H1169" s="31"/>
      <c r="I1169" s="31" t="s">
        <v>661</v>
      </c>
      <c r="J1169" s="31"/>
      <c r="K1169" s="31"/>
    </row>
    <row r="1170" spans="2:11" x14ac:dyDescent="0.25">
      <c r="B1170" s="33" t="s">
        <v>670</v>
      </c>
      <c r="C1170" s="31">
        <v>0.8</v>
      </c>
      <c r="D1170" s="31" t="s">
        <v>664</v>
      </c>
      <c r="E1170" s="31">
        <v>2.2000000000000002</v>
      </c>
      <c r="F1170" s="31" t="s">
        <v>664</v>
      </c>
      <c r="G1170" s="31">
        <v>0.05</v>
      </c>
      <c r="H1170" s="31" t="s">
        <v>664</v>
      </c>
      <c r="I1170" s="31">
        <v>20</v>
      </c>
      <c r="J1170" s="31" t="s">
        <v>665</v>
      </c>
      <c r="K1170" s="31">
        <f>C1170*E1170*G1170*I1170</f>
        <v>1.7600000000000005</v>
      </c>
    </row>
    <row r="1171" spans="2:11" x14ac:dyDescent="0.25">
      <c r="B1171" s="34"/>
      <c r="C1171" s="34"/>
      <c r="D1171" s="34"/>
      <c r="E1171" s="34"/>
      <c r="F1171" s="34"/>
      <c r="G1171" s="34"/>
      <c r="H1171" s="35"/>
      <c r="I1171" s="35"/>
      <c r="J1171" s="34"/>
      <c r="K1171" s="31">
        <f>K1165+K1167+K1168+K1170</f>
        <v>46.068100000000001</v>
      </c>
    </row>
    <row r="1173" spans="2:11" x14ac:dyDescent="0.25">
      <c r="B1173" s="12">
        <f>'P. Nova'!B198</f>
        <v>173</v>
      </c>
      <c r="C1173" s="12" t="str">
        <f>'P. Nova'!C198</f>
        <v>05.001.0605-0</v>
      </c>
      <c r="D1173" s="8" t="str">
        <f>'P. Nova'!D198</f>
        <v>APICOAMENTO DE CONCRETO,EM SUPERFICIES VERTICIAS,INCLUSIVE CORRECAO DE FALHAS</v>
      </c>
      <c r="E1173" s="12" t="str">
        <f>'P. Nova'!E198</f>
        <v>m²</v>
      </c>
      <c r="F1173" s="13">
        <f>J1180*F1160</f>
        <v>32.623800000000003</v>
      </c>
    </row>
    <row r="1175" spans="2:11" x14ac:dyDescent="0.25">
      <c r="C1175" s="33"/>
      <c r="D1175" s="31" t="s">
        <v>659</v>
      </c>
      <c r="E1175" s="31"/>
      <c r="F1175" s="31" t="s">
        <v>666</v>
      </c>
      <c r="G1175" s="31"/>
      <c r="H1175" s="31" t="s">
        <v>661</v>
      </c>
      <c r="I1175" s="31"/>
      <c r="J1175" s="31"/>
    </row>
    <row r="1176" spans="2:11" x14ac:dyDescent="0.25">
      <c r="C1176" s="33" t="s">
        <v>667</v>
      </c>
      <c r="D1176" s="31">
        <f>29.5</f>
        <v>29.5</v>
      </c>
      <c r="E1176" s="31" t="s">
        <v>664</v>
      </c>
      <c r="F1176" s="31">
        <v>2.2000000000000002</v>
      </c>
      <c r="G1176" s="31" t="s">
        <v>664</v>
      </c>
      <c r="H1176" s="31">
        <v>2</v>
      </c>
      <c r="I1176" s="31" t="s">
        <v>665</v>
      </c>
      <c r="J1176" s="31">
        <f>D1176*F1176*H1176</f>
        <v>129.80000000000001</v>
      </c>
    </row>
    <row r="1177" spans="2:11" x14ac:dyDescent="0.25">
      <c r="C1177" s="33" t="s">
        <v>668</v>
      </c>
      <c r="D1177" s="31">
        <f>11.93</f>
        <v>11.93</v>
      </c>
      <c r="E1177" s="31" t="s">
        <v>664</v>
      </c>
      <c r="F1177" s="31">
        <v>2.2000000000000002</v>
      </c>
      <c r="G1177" s="31" t="s">
        <v>664</v>
      </c>
      <c r="H1177" s="31">
        <v>2</v>
      </c>
      <c r="I1177" s="31" t="s">
        <v>665</v>
      </c>
      <c r="J1177" s="31">
        <f>D1177*F1177*H1177</f>
        <v>52.492000000000004</v>
      </c>
    </row>
    <row r="1178" spans="2:11" x14ac:dyDescent="0.25">
      <c r="C1178" s="33"/>
      <c r="D1178" s="31" t="s">
        <v>669</v>
      </c>
      <c r="E1178" s="31"/>
      <c r="F1178" s="31" t="s">
        <v>666</v>
      </c>
      <c r="G1178" s="31"/>
      <c r="H1178" s="31" t="s">
        <v>661</v>
      </c>
      <c r="I1178" s="31"/>
      <c r="J1178" s="31"/>
    </row>
    <row r="1179" spans="2:11" x14ac:dyDescent="0.25">
      <c r="C1179" s="33" t="s">
        <v>670</v>
      </c>
      <c r="D1179" s="31">
        <v>0.8</v>
      </c>
      <c r="E1179" s="31" t="s">
        <v>664</v>
      </c>
      <c r="F1179" s="31">
        <v>2.2000000000000002</v>
      </c>
      <c r="G1179" s="31" t="s">
        <v>664</v>
      </c>
      <c r="H1179" s="31">
        <v>20</v>
      </c>
      <c r="I1179" s="31" t="s">
        <v>665</v>
      </c>
      <c r="J1179" s="31">
        <f>D1179*F1179*H1179</f>
        <v>35.200000000000003</v>
      </c>
    </row>
    <row r="1180" spans="2:11" x14ac:dyDescent="0.25">
      <c r="C1180" s="34"/>
      <c r="D1180" s="34"/>
      <c r="E1180" s="34"/>
      <c r="F1180" s="34"/>
      <c r="G1180" s="35"/>
      <c r="H1180" s="35"/>
      <c r="I1180" s="34"/>
      <c r="J1180" s="31">
        <f>J1176+J1177+J1179</f>
        <v>217.49200000000002</v>
      </c>
    </row>
    <row r="1182" spans="2:11" x14ac:dyDescent="0.25">
      <c r="B1182" s="12">
        <f>'P. Nova'!B199</f>
        <v>174</v>
      </c>
      <c r="C1182" s="12" t="str">
        <f>'P. Nova'!C199</f>
        <v>05.001.0601-0</v>
      </c>
      <c r="D1182" s="12" t="str">
        <f>'P. Nova'!D199</f>
        <v>APICOAMENTO DE CONCRETO OU PISO CIMENTADO</v>
      </c>
      <c r="E1182" s="12" t="str">
        <f>'P. Nova'!E199</f>
        <v>m²</v>
      </c>
      <c r="F1182" s="13">
        <f>H1186*F1160</f>
        <v>52.79025</v>
      </c>
    </row>
    <row r="1184" spans="2:11" x14ac:dyDescent="0.25">
      <c r="C1184" s="31"/>
      <c r="D1184" s="31" t="s">
        <v>658</v>
      </c>
      <c r="E1184" s="31"/>
      <c r="F1184" s="31" t="s">
        <v>659</v>
      </c>
      <c r="G1184" s="31"/>
      <c r="H1184" s="31" t="s">
        <v>671</v>
      </c>
    </row>
    <row r="1185" spans="2:10" x14ac:dyDescent="0.25">
      <c r="C1185" s="33" t="s">
        <v>672</v>
      </c>
      <c r="D1185" s="31">
        <v>29.5</v>
      </c>
      <c r="E1185" s="31" t="s">
        <v>664</v>
      </c>
      <c r="F1185" s="31">
        <v>11.93</v>
      </c>
      <c r="G1185" s="31" t="s">
        <v>665</v>
      </c>
      <c r="H1185" s="31">
        <f>D1185*F1185</f>
        <v>351.935</v>
      </c>
    </row>
    <row r="1186" spans="2:10" x14ac:dyDescent="0.25">
      <c r="C1186" s="35"/>
      <c r="D1186" s="31"/>
      <c r="E1186" s="31"/>
      <c r="F1186" s="31"/>
      <c r="G1186" s="31"/>
      <c r="H1186" s="31">
        <f>H1185</f>
        <v>351.935</v>
      </c>
    </row>
    <row r="1188" spans="2:10" x14ac:dyDescent="0.25">
      <c r="B1188" s="12">
        <f>'P. Nova'!B200</f>
        <v>175</v>
      </c>
      <c r="C1188" s="12" t="str">
        <f>'P. Nova'!C200</f>
        <v>05.001.0606-0</v>
      </c>
      <c r="D1188" s="8" t="str">
        <f>'P. Nova'!D200</f>
        <v>APICOAMENTO DE CONCRETO,EM SUPERFICIES HORIZONTAIS(TETO),INCLUSIVE CORRECAO DE FALHAS</v>
      </c>
      <c r="E1188" s="12" t="str">
        <f>'P. Nova'!E200</f>
        <v>m²</v>
      </c>
      <c r="F1188" s="13">
        <f>H1192*F1160</f>
        <v>52.79025</v>
      </c>
    </row>
    <row r="1190" spans="2:10" x14ac:dyDescent="0.25">
      <c r="C1190" s="31"/>
      <c r="D1190" s="31" t="s">
        <v>658</v>
      </c>
      <c r="E1190" s="31"/>
      <c r="F1190" s="31" t="s">
        <v>659</v>
      </c>
      <c r="G1190" s="31"/>
      <c r="H1190" s="31" t="s">
        <v>671</v>
      </c>
    </row>
    <row r="1191" spans="2:10" x14ac:dyDescent="0.25">
      <c r="C1191" s="33" t="s">
        <v>673</v>
      </c>
      <c r="D1191" s="31">
        <v>29.5</v>
      </c>
      <c r="E1191" s="31" t="s">
        <v>664</v>
      </c>
      <c r="F1191" s="31">
        <v>11.93</v>
      </c>
      <c r="G1191" s="31" t="s">
        <v>665</v>
      </c>
      <c r="H1191" s="31">
        <f>D1191*F1191</f>
        <v>351.935</v>
      </c>
    </row>
    <row r="1192" spans="2:10" x14ac:dyDescent="0.25">
      <c r="C1192" s="35"/>
      <c r="D1192" s="31"/>
      <c r="E1192" s="31"/>
      <c r="F1192" s="31"/>
      <c r="G1192" s="31"/>
      <c r="H1192" s="31">
        <f>H1191</f>
        <v>351.935</v>
      </c>
    </row>
    <row r="1194" spans="2:10" x14ac:dyDescent="0.25">
      <c r="B1194" s="12">
        <f>'P. Nova'!B201</f>
        <v>176</v>
      </c>
      <c r="C1194" s="12" t="str">
        <f>'P. Nova'!C201</f>
        <v>05.001.0750-0</v>
      </c>
      <c r="D1194" s="8" t="str">
        <f>'P. Nova'!D201</f>
        <v>LIMPEZA DE SUPERFICIE DE CONCRETO E DA ARMADURA,COM ESCOVA DE ACO,APOS RETIRADA DO CAPEAMENTO,EXCLUSIVE ESTE</v>
      </c>
      <c r="E1194" s="12" t="str">
        <f>'P. Nova'!E201</f>
        <v>m²</v>
      </c>
      <c r="F1194" s="13">
        <f>J1203*F1160</f>
        <v>138.20430000000002</v>
      </c>
    </row>
    <row r="1196" spans="2:10" x14ac:dyDescent="0.25">
      <c r="C1196" s="31"/>
      <c r="D1196" s="31" t="s">
        <v>658</v>
      </c>
      <c r="E1196" s="31"/>
      <c r="F1196" s="31" t="s">
        <v>659</v>
      </c>
      <c r="G1196" s="31"/>
      <c r="H1196" s="31" t="s">
        <v>661</v>
      </c>
      <c r="I1196" s="31"/>
      <c r="J1196" s="31" t="s">
        <v>674</v>
      </c>
    </row>
    <row r="1197" spans="2:10" x14ac:dyDescent="0.25">
      <c r="C1197" s="33" t="s">
        <v>663</v>
      </c>
      <c r="D1197" s="31">
        <v>29.5</v>
      </c>
      <c r="E1197" s="31" t="s">
        <v>664</v>
      </c>
      <c r="F1197" s="31">
        <v>11.93</v>
      </c>
      <c r="G1197" s="31" t="s">
        <v>664</v>
      </c>
      <c r="H1197" s="31">
        <v>2</v>
      </c>
      <c r="I1197" s="31" t="s">
        <v>665</v>
      </c>
      <c r="J1197" s="31">
        <f>D1197*F1197*H1197</f>
        <v>703.87</v>
      </c>
    </row>
    <row r="1198" spans="2:10" x14ac:dyDescent="0.25">
      <c r="C1198" s="33"/>
      <c r="D1198" s="31" t="s">
        <v>659</v>
      </c>
      <c r="E1198" s="31"/>
      <c r="F1198" s="31" t="s">
        <v>666</v>
      </c>
      <c r="G1198" s="31"/>
      <c r="H1198" s="31" t="s">
        <v>661</v>
      </c>
      <c r="I1198" s="31"/>
      <c r="J1198" s="31"/>
    </row>
    <row r="1199" spans="2:10" x14ac:dyDescent="0.25">
      <c r="C1199" s="33" t="s">
        <v>667</v>
      </c>
      <c r="D1199" s="31">
        <f>29.5</f>
        <v>29.5</v>
      </c>
      <c r="E1199" s="31" t="s">
        <v>664</v>
      </c>
      <c r="F1199" s="31">
        <v>2.2000000000000002</v>
      </c>
      <c r="G1199" s="31" t="s">
        <v>664</v>
      </c>
      <c r="H1199" s="31">
        <v>2</v>
      </c>
      <c r="I1199" s="31" t="s">
        <v>665</v>
      </c>
      <c r="J1199" s="31">
        <f t="shared" ref="J1199:J1200" si="18">D1199*F1199*H1199</f>
        <v>129.80000000000001</v>
      </c>
    </row>
    <row r="1200" spans="2:10" x14ac:dyDescent="0.25">
      <c r="C1200" s="33" t="s">
        <v>668</v>
      </c>
      <c r="D1200" s="31">
        <f>11.93</f>
        <v>11.93</v>
      </c>
      <c r="E1200" s="31" t="s">
        <v>664</v>
      </c>
      <c r="F1200" s="31">
        <v>2.2000000000000002</v>
      </c>
      <c r="G1200" s="31" t="s">
        <v>664</v>
      </c>
      <c r="H1200" s="31">
        <v>2</v>
      </c>
      <c r="I1200" s="31" t="s">
        <v>665</v>
      </c>
      <c r="J1200" s="31">
        <f t="shared" si="18"/>
        <v>52.492000000000004</v>
      </c>
    </row>
    <row r="1201" spans="2:10" x14ac:dyDescent="0.25">
      <c r="C1201" s="33"/>
      <c r="D1201" s="31" t="s">
        <v>669</v>
      </c>
      <c r="E1201" s="31"/>
      <c r="F1201" s="31" t="s">
        <v>666</v>
      </c>
      <c r="G1201" s="31"/>
      <c r="H1201" s="31" t="s">
        <v>661</v>
      </c>
      <c r="I1201" s="31"/>
      <c r="J1201" s="31"/>
    </row>
    <row r="1202" spans="2:10" x14ac:dyDescent="0.25">
      <c r="C1202" s="33" t="s">
        <v>670</v>
      </c>
      <c r="D1202" s="31">
        <v>0.8</v>
      </c>
      <c r="E1202" s="31" t="s">
        <v>664</v>
      </c>
      <c r="F1202" s="31">
        <v>2.2000000000000002</v>
      </c>
      <c r="G1202" s="31" t="s">
        <v>664</v>
      </c>
      <c r="H1202" s="31">
        <v>20</v>
      </c>
      <c r="I1202" s="31" t="s">
        <v>665</v>
      </c>
      <c r="J1202" s="31">
        <f>D1202*F1202*H1202</f>
        <v>35.200000000000003</v>
      </c>
    </row>
    <row r="1203" spans="2:10" x14ac:dyDescent="0.25">
      <c r="C1203" s="34"/>
      <c r="D1203" s="34"/>
      <c r="E1203" s="34"/>
      <c r="F1203" s="34"/>
      <c r="G1203" s="35"/>
      <c r="H1203" s="35"/>
      <c r="I1203" s="34"/>
      <c r="J1203" s="31">
        <f>J1197+J1199+J1200+J1202</f>
        <v>921.36200000000008</v>
      </c>
    </row>
    <row r="1205" spans="2:10" x14ac:dyDescent="0.25">
      <c r="B1205" s="12">
        <f>'P. Nova'!B202</f>
        <v>177</v>
      </c>
      <c r="C1205" s="12" t="str">
        <f>'P. Nova'!C202</f>
        <v>11.005.0001-1</v>
      </c>
      <c r="D1205" s="8" t="str">
        <f>'P. Nova'!D202</f>
        <v>FORMAS DE CHAPAS DE MADEIRA COMPENSADA,EMPREGANDO-SE AS DE 14MM,RESINADAS,E TAMBEM AS DE 20MM DE ESPESSURA,PLASTIFICADAS,SERVINDO 4 VEZES,E A MADEIRA AUXILIAR SERVINDO 3 VEZES,INCLUSIVE FORNECIMENTO E DESMOLDAGEM,EXCLUSIVE ESCORAMENTO</v>
      </c>
      <c r="E1205" s="12" t="str">
        <f>'P. Nova'!E202</f>
        <v>m²</v>
      </c>
      <c r="F1205" s="13">
        <f>E1207*F1160</f>
        <v>85.414050000000003</v>
      </c>
    </row>
    <row r="1207" spans="2:10" x14ac:dyDescent="0.25">
      <c r="C1207" s="31" t="s">
        <v>675</v>
      </c>
      <c r="D1207" s="36"/>
      <c r="E1207" s="31">
        <f>(J1197/2)+J1199+J1200+J1202</f>
        <v>569.42700000000002</v>
      </c>
      <c r="F1207" s="31" t="s">
        <v>43</v>
      </c>
    </row>
    <row r="1209" spans="2:10" x14ac:dyDescent="0.25">
      <c r="B1209" s="12">
        <f>'P. Nova'!B203</f>
        <v>178</v>
      </c>
      <c r="C1209" s="12" t="str">
        <f>'P. Nova'!C203</f>
        <v>11.004.0035-1</v>
      </c>
      <c r="D1209" s="8" t="str">
        <f>'P. Nova'!D203</f>
        <v>ESCORAMENTO DE FORMAS ATE 3,30M DE PE DIREITO,COM MADEIRA DE 3�,TABUAS EMPREGADAS 3 VEZES,PRUMOS 4 VEZES</v>
      </c>
      <c r="E1209" s="12" t="str">
        <f>'P. Nova'!E203</f>
        <v>m³</v>
      </c>
      <c r="F1209" s="13">
        <f>G1212*F1160</f>
        <v>71.772360000000006</v>
      </c>
    </row>
    <row r="1211" spans="2:10" x14ac:dyDescent="0.25">
      <c r="C1211" s="37" t="s">
        <v>674</v>
      </c>
      <c r="D1211" s="37"/>
      <c r="E1211" s="37" t="s">
        <v>666</v>
      </c>
      <c r="F1211" s="37"/>
      <c r="G1211" s="37" t="s">
        <v>662</v>
      </c>
    </row>
    <row r="1212" spans="2:10" x14ac:dyDescent="0.25">
      <c r="C1212" s="37">
        <f>J1199+J1200+J1202</f>
        <v>217.49200000000002</v>
      </c>
      <c r="D1212" s="37" t="s">
        <v>664</v>
      </c>
      <c r="E1212" s="37">
        <v>2.2000000000000002</v>
      </c>
      <c r="F1212" s="37" t="s">
        <v>665</v>
      </c>
      <c r="G1212" s="37">
        <f>C1212*E1212</f>
        <v>478.4824000000001</v>
      </c>
    </row>
    <row r="1214" spans="2:10" x14ac:dyDescent="0.25">
      <c r="B1214" s="12">
        <f>'P. Nova'!B204</f>
        <v>179</v>
      </c>
      <c r="C1214" s="12" t="str">
        <f>'P. Nova'!C204</f>
        <v>11.004.0061-0</v>
      </c>
      <c r="D1214" s="8" t="str">
        <f>'P. Nova'!D204</f>
        <v>REFORCO LATERAL DE ESCORAMENTO DE FORMAS DE PILARES OU VIGAS,COM 30% DE APROVEITAMENTO DA MADEIRA,INCLUSIVE RETIRADA</v>
      </c>
      <c r="E1214" s="12" t="str">
        <f>'P. Nova'!E204</f>
        <v>m²</v>
      </c>
      <c r="F1214" s="13">
        <f>D1217*F1160</f>
        <v>5.28</v>
      </c>
    </row>
    <row r="1216" spans="2:10" x14ac:dyDescent="0.25">
      <c r="C1216" s="31" t="s">
        <v>670</v>
      </c>
      <c r="D1216" s="37" t="s">
        <v>674</v>
      </c>
    </row>
    <row r="1217" spans="2:8" x14ac:dyDescent="0.25">
      <c r="C1217" s="38"/>
      <c r="D1217" s="37">
        <f>J1202</f>
        <v>35.200000000000003</v>
      </c>
    </row>
    <row r="1219" spans="2:8" x14ac:dyDescent="0.25">
      <c r="B1219" s="12">
        <f>'P. Nova'!B205</f>
        <v>180</v>
      </c>
      <c r="C1219" s="12" t="str">
        <f>'P. Nova'!C205</f>
        <v>11.004.0069-1</v>
      </c>
      <c r="D1219" s="8" t="str">
        <f>'P. Nova'!D205</f>
        <v>ESCORAMENTO DE FORMAS DE PARAMENTOS VERTICAIS,PARA ALTURA DE 1,50 A 5,00M,COM 30% DE APROVEITAMENTO DA MADEIRA,INCLUSIVERETIRADA</v>
      </c>
      <c r="E1219" s="12" t="str">
        <f>'P. Nova'!E205</f>
        <v>m²</v>
      </c>
      <c r="F1219" s="13">
        <f>G1222*F1160</f>
        <v>52.79025</v>
      </c>
    </row>
    <row r="1221" spans="2:8" x14ac:dyDescent="0.25">
      <c r="C1221" s="32" t="s">
        <v>658</v>
      </c>
      <c r="D1221" s="31"/>
      <c r="E1221" s="31" t="s">
        <v>659</v>
      </c>
      <c r="F1221" s="37"/>
      <c r="G1221" s="37" t="s">
        <v>676</v>
      </c>
    </row>
    <row r="1222" spans="2:8" x14ac:dyDescent="0.25">
      <c r="C1222" s="37">
        <v>29.5</v>
      </c>
      <c r="D1222" s="37" t="s">
        <v>664</v>
      </c>
      <c r="E1222" s="37">
        <v>11.93</v>
      </c>
      <c r="F1222" s="37" t="s">
        <v>665</v>
      </c>
      <c r="G1222" s="37">
        <f>C1222*E1222</f>
        <v>351.935</v>
      </c>
    </row>
    <row r="1224" spans="2:8" x14ac:dyDescent="0.25">
      <c r="B1224" s="12">
        <f>'P. Nova'!B206</f>
        <v>181</v>
      </c>
      <c r="C1224" s="12" t="str">
        <f>'P. Nova'!C206</f>
        <v>05.001.0608-0</v>
      </c>
      <c r="D1224" s="8" t="str">
        <f>'P. Nova'!D206</f>
        <v>FURACAO EM CONCRETO COM FURADEIRA MANUAL E BROCA DE WIDIA DE DIAMETRO DE 5/8"</v>
      </c>
      <c r="E1224" s="12" t="str">
        <f>'P. Nova'!E206</f>
        <v>m</v>
      </c>
      <c r="F1224" s="13">
        <f>H1230*F1160</f>
        <v>10.5</v>
      </c>
    </row>
    <row r="1226" spans="2:8" x14ac:dyDescent="0.25">
      <c r="C1226" s="39"/>
      <c r="D1226" s="31" t="s">
        <v>658</v>
      </c>
      <c r="E1226" s="40"/>
      <c r="F1226" s="31" t="s">
        <v>677</v>
      </c>
      <c r="G1226" s="40"/>
      <c r="H1226" s="39" t="s">
        <v>678</v>
      </c>
    </row>
    <row r="1227" spans="2:8" x14ac:dyDescent="0.25">
      <c r="C1227" s="33" t="s">
        <v>670</v>
      </c>
      <c r="D1227" s="40">
        <v>0.05</v>
      </c>
      <c r="E1227" s="31" t="s">
        <v>664</v>
      </c>
      <c r="F1227" s="40">
        <v>800</v>
      </c>
      <c r="G1227" s="39" t="s">
        <v>665</v>
      </c>
      <c r="H1227" s="40">
        <f>D1227*F1227</f>
        <v>40</v>
      </c>
    </row>
    <row r="1228" spans="2:8" x14ac:dyDescent="0.25">
      <c r="C1228" s="33" t="s">
        <v>679</v>
      </c>
      <c r="D1228" s="40">
        <v>0.1</v>
      </c>
      <c r="E1228" s="31" t="s">
        <v>664</v>
      </c>
      <c r="F1228" s="40">
        <v>150</v>
      </c>
      <c r="G1228" s="39" t="s">
        <v>665</v>
      </c>
      <c r="H1228" s="40">
        <f>D1228*F1228</f>
        <v>15</v>
      </c>
    </row>
    <row r="1229" spans="2:8" x14ac:dyDescent="0.25">
      <c r="C1229" s="33" t="s">
        <v>673</v>
      </c>
      <c r="D1229" s="40">
        <v>0.1</v>
      </c>
      <c r="E1229" s="31" t="s">
        <v>664</v>
      </c>
      <c r="F1229" s="40">
        <v>150</v>
      </c>
      <c r="G1229" s="39" t="s">
        <v>665</v>
      </c>
      <c r="H1229" s="41">
        <f>D1229*F1229</f>
        <v>15</v>
      </c>
    </row>
    <row r="1230" spans="2:8" x14ac:dyDescent="0.25">
      <c r="C1230" s="33"/>
      <c r="D1230" s="42"/>
      <c r="E1230" s="31"/>
      <c r="F1230" s="42"/>
      <c r="G1230" s="43"/>
      <c r="H1230" s="40">
        <f>SUM(H1227:H1229)</f>
        <v>70</v>
      </c>
    </row>
    <row r="1232" spans="2:8" x14ac:dyDescent="0.25">
      <c r="B1232" s="12">
        <f>'P. Nova'!B207</f>
        <v>182</v>
      </c>
      <c r="C1232" s="12" t="str">
        <f>'P. Nova'!C207</f>
        <v>07.160.0020-1</v>
      </c>
      <c r="D1232" s="8" t="str">
        <f>'P. Nova'!D207</f>
        <v>APLICACAO DE RESINA EPOXICA EM COLAGEM DE PECAS DE CONCRETO,INCLUSIVE PREPARO DO LOCAL E FORNECIMENTO DE MATERIAL.CUSTO POR KG DE RESINA UTILIZADA</v>
      </c>
      <c r="E1232" s="12" t="str">
        <f>'P. Nova'!E207</f>
        <v>Kg</v>
      </c>
      <c r="F1232" s="44">
        <f>I1238*F1160</f>
        <v>3.5889554474609797</v>
      </c>
    </row>
    <row r="1234" spans="2:9" x14ac:dyDescent="0.25">
      <c r="B1234" s="45"/>
      <c r="C1234" s="31" t="s">
        <v>676</v>
      </c>
      <c r="D1234" s="46"/>
      <c r="E1234" s="31" t="s">
        <v>680</v>
      </c>
      <c r="F1234" s="35"/>
      <c r="G1234" s="47" t="s">
        <v>662</v>
      </c>
      <c r="H1234" s="35"/>
      <c r="I1234" s="35"/>
    </row>
    <row r="1235" spans="2:9" x14ac:dyDescent="0.25">
      <c r="B1235" s="33" t="s">
        <v>681</v>
      </c>
      <c r="C1235" s="48">
        <v>2.0106192982974675E-4</v>
      </c>
      <c r="D1235" s="48" t="s">
        <v>664</v>
      </c>
      <c r="E1235" s="49">
        <f>H1230</f>
        <v>70</v>
      </c>
      <c r="F1235" s="49" t="s">
        <v>665</v>
      </c>
      <c r="G1235" s="50">
        <f>C1235*E1235</f>
        <v>1.4074335088082273E-2</v>
      </c>
      <c r="H1235" s="35"/>
      <c r="I1235" s="35"/>
    </row>
    <row r="1236" spans="2:9" x14ac:dyDescent="0.25">
      <c r="B1236" s="35"/>
      <c r="C1236" s="35"/>
      <c r="D1236" s="35"/>
      <c r="E1236" s="35"/>
      <c r="F1236" s="35"/>
      <c r="G1236" s="35"/>
      <c r="H1236" s="35"/>
      <c r="I1236" s="35"/>
    </row>
    <row r="1237" spans="2:9" x14ac:dyDescent="0.25">
      <c r="B1237" s="35"/>
      <c r="C1237" s="48" t="s">
        <v>662</v>
      </c>
      <c r="D1237" s="48"/>
      <c r="E1237" s="48" t="s">
        <v>682</v>
      </c>
      <c r="F1237" s="49"/>
      <c r="G1237" s="49" t="s">
        <v>683</v>
      </c>
      <c r="H1237" s="49"/>
      <c r="I1237" s="49" t="s">
        <v>684</v>
      </c>
    </row>
    <row r="1238" spans="2:9" x14ac:dyDescent="0.25">
      <c r="B1238" s="35"/>
      <c r="C1238" s="51">
        <f>G1235</f>
        <v>1.4074335088082273E-2</v>
      </c>
      <c r="D1238" s="48" t="s">
        <v>685</v>
      </c>
      <c r="E1238" s="49">
        <f>C1238*1000</f>
        <v>14.074335088082274</v>
      </c>
      <c r="F1238" s="49" t="s">
        <v>664</v>
      </c>
      <c r="G1238" s="49">
        <v>1.7</v>
      </c>
      <c r="H1238" s="49" t="s">
        <v>665</v>
      </c>
      <c r="I1238" s="49">
        <f>E1238*G1238</f>
        <v>23.926369649739865</v>
      </c>
    </row>
    <row r="1240" spans="2:9" x14ac:dyDescent="0.25">
      <c r="B1240" s="12">
        <f>'P. Nova'!B208</f>
        <v>183</v>
      </c>
      <c r="C1240" s="12" t="str">
        <f>'P. Nova'!C208</f>
        <v>11.015.0019-0</v>
      </c>
      <c r="D1240" s="8" t="str">
        <f>'P. Nova'!D208</f>
        <v>GROUT (ARGAMASSA FLUIDA DE ELEVADA RESISTENCIA),INCLUSIVE PREPARO,LANCAMENTO E FORNECIMENTO DOS MATERIAIS</v>
      </c>
      <c r="E1240" s="12" t="str">
        <f>'P. Nova'!E208</f>
        <v>m³</v>
      </c>
      <c r="F1240" s="44">
        <f>H1245*F1160</f>
        <v>0.19800600000000002</v>
      </c>
    </row>
    <row r="1242" spans="2:9" x14ac:dyDescent="0.25">
      <c r="C1242" s="52"/>
      <c r="D1242" s="47" t="s">
        <v>676</v>
      </c>
      <c r="E1242" s="47"/>
      <c r="F1242" s="47" t="s">
        <v>686</v>
      </c>
      <c r="G1242" s="47"/>
      <c r="H1242" s="31" t="s">
        <v>662</v>
      </c>
    </row>
    <row r="1243" spans="2:9" x14ac:dyDescent="0.25">
      <c r="C1243" s="52" t="s">
        <v>687</v>
      </c>
      <c r="D1243" s="47">
        <f>((29.5*2)+(11.93*2))*0.07</f>
        <v>5.8002000000000002</v>
      </c>
      <c r="E1243" s="47" t="s">
        <v>664</v>
      </c>
      <c r="F1243" s="47">
        <v>0.2</v>
      </c>
      <c r="G1243" s="47" t="s">
        <v>665</v>
      </c>
      <c r="H1243" s="47">
        <f>D1243*F1243</f>
        <v>1.1600400000000002</v>
      </c>
    </row>
    <row r="1244" spans="2:9" x14ac:dyDescent="0.25">
      <c r="C1244" s="52" t="s">
        <v>688</v>
      </c>
      <c r="D1244" s="47">
        <f>0.2*0.2*20</f>
        <v>0.80000000000000016</v>
      </c>
      <c r="E1244" s="47" t="s">
        <v>664</v>
      </c>
      <c r="F1244" s="47">
        <v>0.2</v>
      </c>
      <c r="G1244" s="47" t="s">
        <v>665</v>
      </c>
      <c r="H1244" s="53">
        <f>D1244*F1244</f>
        <v>0.16000000000000003</v>
      </c>
    </row>
    <row r="1245" spans="2:9" x14ac:dyDescent="0.25">
      <c r="C1245" s="35"/>
      <c r="D1245" s="35"/>
      <c r="E1245" s="35"/>
      <c r="F1245" s="35"/>
      <c r="G1245" s="35"/>
      <c r="H1245" s="47">
        <f>H1243+H1244</f>
        <v>1.3200400000000001</v>
      </c>
    </row>
    <row r="1247" spans="2:9" x14ac:dyDescent="0.25">
      <c r="B1247" s="12">
        <f>'P. Nova'!B209</f>
        <v>184</v>
      </c>
      <c r="C1247" s="12" t="str">
        <f>'P. Nova'!C209</f>
        <v>01.001.0151-0</v>
      </c>
      <c r="D1247" s="8" t="str">
        <f>'P. Nova'!D209</f>
        <v>CONTROLE TECNOLOGICO DE OBRAS EM CONCRETO ARMADO CONSIDERANDO APENAS O CONTROLE DO CONCRETO E CONSTANDO DE COLETA,MOLDAGEM E CAPEAMENTO DE CORPOS DE PROVA,TRANSPORTE ATE 100KM,ENSAIOS DE RESISTENCIA A COMPRESSAO AOS 3, 7 E 28 DIAS E "SLUMPTEST",MEDIDO POR M3 DE CONCRETO COLOCADO NAS FORMAS</v>
      </c>
      <c r="E1247" s="12" t="str">
        <f>'P. Nova'!E209</f>
        <v>m³</v>
      </c>
      <c r="F1247" s="44">
        <f>E1249*F1160</f>
        <v>9.4666950000000014</v>
      </c>
    </row>
    <row r="1248" spans="2:9" x14ac:dyDescent="0.25">
      <c r="B1248" s="12"/>
      <c r="C1248" s="12"/>
      <c r="D1248" s="8"/>
      <c r="E1248" s="12"/>
      <c r="F1248" s="44"/>
    </row>
    <row r="1249" spans="2:7" x14ac:dyDescent="0.25">
      <c r="D1249" t="s">
        <v>689</v>
      </c>
      <c r="E1249" s="13">
        <f>K1273</f>
        <v>63.111300000000007</v>
      </c>
      <c r="F1249" t="s">
        <v>44</v>
      </c>
    </row>
    <row r="1251" spans="2:7" x14ac:dyDescent="0.25">
      <c r="B1251" s="12">
        <f>'P. Nova'!B210</f>
        <v>185</v>
      </c>
      <c r="C1251" s="12" t="str">
        <f>'P. Nova'!C210</f>
        <v>11.015.0030-0</v>
      </c>
      <c r="D1251" s="8" t="str">
        <f>'P. Nova'!D210</f>
        <v>ADITIVO A BASE DE SILICA ATIVA,DOSADO SOBRE O PESO DO CIMENTO NA PROPORCAO MEDIA DE 10%,INCLUSIVE MAO-DE-OBRA E PERDAS.POR M3 DE CONCRETO</v>
      </c>
      <c r="E1251" s="12" t="str">
        <f>'P. Nova'!E210</f>
        <v>m³</v>
      </c>
      <c r="F1251" s="44">
        <f>E1253*F1160</f>
        <v>9.4666950000000014</v>
      </c>
    </row>
    <row r="1252" spans="2:7" x14ac:dyDescent="0.25">
      <c r="B1252" s="12"/>
      <c r="C1252" s="12"/>
      <c r="D1252" s="8"/>
      <c r="E1252" s="12"/>
      <c r="F1252" s="44"/>
    </row>
    <row r="1253" spans="2:7" x14ac:dyDescent="0.25">
      <c r="D1253" t="s">
        <v>689</v>
      </c>
      <c r="E1253" s="13">
        <f>K1273</f>
        <v>63.111300000000007</v>
      </c>
      <c r="F1253" t="s">
        <v>44</v>
      </c>
    </row>
    <row r="1255" spans="2:7" x14ac:dyDescent="0.25">
      <c r="B1255" s="12">
        <f>'P. Nova'!B211</f>
        <v>186</v>
      </c>
      <c r="C1255" s="12" t="str">
        <f>'P. Nova'!C211</f>
        <v>11.090.0600-0</v>
      </c>
      <c r="D1255" s="8" t="str">
        <f>'P. Nova'!D211</f>
        <v>RECUPERACAO DE ESTRUTURA,CAVIDADES E ARESTAS EM CONCRETO ARMADO,COM ARGAMASSA TIXOTROPICA POLIMERICA DE ALTO DESEMPENHO COM ESPESSURA ATE 3CM</v>
      </c>
      <c r="E1255" s="12" t="str">
        <f>'P. Nova'!E211</f>
        <v>m³</v>
      </c>
      <c r="F1255" s="44">
        <f>G1258*F1160</f>
        <v>4.1461290000000002</v>
      </c>
    </row>
    <row r="1256" spans="2:7" x14ac:dyDescent="0.25">
      <c r="B1256" s="12"/>
      <c r="C1256" s="12"/>
      <c r="D1256" s="8"/>
      <c r="E1256" s="12"/>
      <c r="F1256" s="44"/>
    </row>
    <row r="1257" spans="2:7" x14ac:dyDescent="0.25">
      <c r="B1257" s="12"/>
      <c r="C1257" s="47" t="s">
        <v>676</v>
      </c>
      <c r="D1257" s="47"/>
      <c r="E1257" s="47" t="s">
        <v>686</v>
      </c>
      <c r="F1257" s="47"/>
      <c r="G1257" s="31" t="s">
        <v>662</v>
      </c>
    </row>
    <row r="1258" spans="2:7" x14ac:dyDescent="0.25">
      <c r="B1258" s="12"/>
      <c r="C1258" s="54">
        <f>J1203</f>
        <v>921.36200000000008</v>
      </c>
      <c r="D1258" s="47" t="s">
        <v>664</v>
      </c>
      <c r="E1258" s="47">
        <v>0.03</v>
      </c>
      <c r="F1258" s="47" t="s">
        <v>665</v>
      </c>
      <c r="G1258" s="47">
        <f>C1258*E1258</f>
        <v>27.64086</v>
      </c>
    </row>
    <row r="1259" spans="2:7" x14ac:dyDescent="0.25">
      <c r="B1259" s="12"/>
      <c r="C1259" s="12"/>
      <c r="D1259" s="8"/>
      <c r="E1259" s="12"/>
      <c r="F1259" s="44"/>
    </row>
    <row r="1260" spans="2:7" x14ac:dyDescent="0.25">
      <c r="B1260" s="12">
        <f>'P. Nova'!B212</f>
        <v>187</v>
      </c>
      <c r="C1260" s="12" t="str">
        <f>'P. Nova'!C212</f>
        <v>17.013.0030-0</v>
      </c>
      <c r="D1260" s="8" t="str">
        <f>'P. Nova'!D212</f>
        <v>PINTURA INTERNA OU EXTERNA SOBRE CONCRETO LISO OU REVESTIMENTO,COM TINTA AQUOSA A BASE DE EPOXI INCOLOR OU EM CORES,INCLUSIVE LIMPEZA,E DUAS DEMAOS DE ACABAMENTO</v>
      </c>
      <c r="E1260" s="12" t="str">
        <f>'P. Nova'!E212</f>
        <v>m²</v>
      </c>
      <c r="F1260" s="44">
        <f>E1262*F1160</f>
        <v>138.20430000000002</v>
      </c>
    </row>
    <row r="1261" spans="2:7" x14ac:dyDescent="0.25">
      <c r="B1261" s="12"/>
      <c r="C1261" s="12"/>
      <c r="D1261" s="8"/>
      <c r="E1261" s="12"/>
      <c r="F1261" s="44"/>
    </row>
    <row r="1262" spans="2:7" x14ac:dyDescent="0.25">
      <c r="D1262" t="s">
        <v>690</v>
      </c>
      <c r="E1262" s="13">
        <f>J1203</f>
        <v>921.36200000000008</v>
      </c>
      <c r="F1262" t="s">
        <v>43</v>
      </c>
    </row>
    <row r="1264" spans="2:7" x14ac:dyDescent="0.25">
      <c r="B1264" s="12">
        <f>'P. Nova'!B213</f>
        <v>188</v>
      </c>
      <c r="C1264" s="12" t="str">
        <f>'P. Nova'!C213</f>
        <v>11.025.0013-0</v>
      </c>
      <c r="D1264" s="8" t="str">
        <f>'P. Nova'!D213</f>
        <v>CONCRETO BOMBEADO,FCK=35MPA,COMPREENDENDO O FORNECIMENTO DE CONCRETO IMPORTADO DE USINA,COLOCACAO NAS FORMAS,ESPALHAMENTO,ADENSAMENTO MECANICO E ACABAMENTO</v>
      </c>
      <c r="E1264" s="12" t="str">
        <f>'P. Nova'!E213</f>
        <v>m³</v>
      </c>
      <c r="F1264" s="44">
        <f>K1273*F1160</f>
        <v>9.4666950000000014</v>
      </c>
    </row>
    <row r="1265" spans="2:11" x14ac:dyDescent="0.25">
      <c r="B1265" s="12"/>
      <c r="C1265" s="12"/>
      <c r="D1265" s="8"/>
      <c r="E1265" s="12"/>
      <c r="F1265" s="44"/>
    </row>
    <row r="1266" spans="2:11" x14ac:dyDescent="0.25">
      <c r="B1266" s="31"/>
      <c r="C1266" s="32" t="s">
        <v>658</v>
      </c>
      <c r="D1266" s="31"/>
      <c r="E1266" s="31" t="s">
        <v>659</v>
      </c>
      <c r="F1266" s="31"/>
      <c r="G1266" s="31" t="s">
        <v>660</v>
      </c>
      <c r="H1266" s="31"/>
      <c r="I1266" s="31" t="s">
        <v>661</v>
      </c>
      <c r="J1266" s="31"/>
      <c r="K1266" s="31" t="s">
        <v>662</v>
      </c>
    </row>
    <row r="1267" spans="2:11" x14ac:dyDescent="0.25">
      <c r="B1267" s="33" t="s">
        <v>663</v>
      </c>
      <c r="C1267" s="31">
        <v>29.5</v>
      </c>
      <c r="D1267" s="31" t="s">
        <v>664</v>
      </c>
      <c r="E1267" s="31">
        <v>11.93</v>
      </c>
      <c r="F1267" s="31" t="s">
        <v>664</v>
      </c>
      <c r="G1267" s="31">
        <v>7.0000000000000007E-2</v>
      </c>
      <c r="H1267" s="31" t="s">
        <v>664</v>
      </c>
      <c r="I1267" s="31">
        <v>2</v>
      </c>
      <c r="J1267" s="31" t="s">
        <v>665</v>
      </c>
      <c r="K1267" s="31">
        <f>C1267*E1267*G1267*I1267</f>
        <v>49.270900000000005</v>
      </c>
    </row>
    <row r="1268" spans="2:11" x14ac:dyDescent="0.25">
      <c r="B1268" s="33"/>
      <c r="C1268" s="31" t="s">
        <v>659</v>
      </c>
      <c r="D1268" s="31"/>
      <c r="E1268" s="31" t="s">
        <v>666</v>
      </c>
      <c r="F1268" s="31"/>
      <c r="G1268" s="31" t="s">
        <v>660</v>
      </c>
      <c r="H1268" s="31"/>
      <c r="I1268" s="31" t="s">
        <v>661</v>
      </c>
      <c r="J1268" s="31"/>
      <c r="K1268" s="31"/>
    </row>
    <row r="1269" spans="2:11" x14ac:dyDescent="0.25">
      <c r="B1269" s="33" t="s">
        <v>667</v>
      </c>
      <c r="C1269" s="31">
        <f>29.5</f>
        <v>29.5</v>
      </c>
      <c r="D1269" s="31" t="s">
        <v>664</v>
      </c>
      <c r="E1269" s="31">
        <v>2</v>
      </c>
      <c r="F1269" s="31" t="s">
        <v>664</v>
      </c>
      <c r="G1269" s="31">
        <v>7.0000000000000007E-2</v>
      </c>
      <c r="H1269" s="31" t="s">
        <v>664</v>
      </c>
      <c r="I1269" s="31">
        <v>2</v>
      </c>
      <c r="J1269" s="31" t="s">
        <v>665</v>
      </c>
      <c r="K1269" s="31">
        <f t="shared" ref="K1269:K1270" si="19">C1269*E1269*G1269*I1269</f>
        <v>8.2600000000000016</v>
      </c>
    </row>
    <row r="1270" spans="2:11" x14ac:dyDescent="0.25">
      <c r="B1270" s="33" t="s">
        <v>668</v>
      </c>
      <c r="C1270" s="31">
        <f>11.93</f>
        <v>11.93</v>
      </c>
      <c r="D1270" s="31" t="s">
        <v>664</v>
      </c>
      <c r="E1270" s="31">
        <v>2</v>
      </c>
      <c r="F1270" s="31" t="s">
        <v>664</v>
      </c>
      <c r="G1270" s="31">
        <v>7.0000000000000007E-2</v>
      </c>
      <c r="H1270" s="31" t="s">
        <v>664</v>
      </c>
      <c r="I1270" s="31">
        <v>2</v>
      </c>
      <c r="J1270" s="31" t="s">
        <v>665</v>
      </c>
      <c r="K1270" s="31">
        <f t="shared" si="19"/>
        <v>3.3404000000000003</v>
      </c>
    </row>
    <row r="1271" spans="2:11" x14ac:dyDescent="0.25">
      <c r="B1271" s="33"/>
      <c r="C1271" s="31" t="s">
        <v>669</v>
      </c>
      <c r="D1271" s="31"/>
      <c r="E1271" s="31" t="s">
        <v>666</v>
      </c>
      <c r="F1271" s="31"/>
      <c r="G1271" s="31" t="s">
        <v>660</v>
      </c>
      <c r="H1271" s="31"/>
      <c r="I1271" s="31" t="s">
        <v>661</v>
      </c>
      <c r="J1271" s="31"/>
      <c r="K1271" s="31"/>
    </row>
    <row r="1272" spans="2:11" x14ac:dyDescent="0.25">
      <c r="B1272" s="33" t="s">
        <v>670</v>
      </c>
      <c r="C1272" s="31">
        <v>0.8</v>
      </c>
      <c r="D1272" s="31" t="s">
        <v>664</v>
      </c>
      <c r="E1272" s="31">
        <v>2</v>
      </c>
      <c r="F1272" s="31" t="s">
        <v>664</v>
      </c>
      <c r="G1272" s="31">
        <v>7.0000000000000007E-2</v>
      </c>
      <c r="H1272" s="31" t="s">
        <v>664</v>
      </c>
      <c r="I1272" s="31">
        <v>20</v>
      </c>
      <c r="J1272" s="31" t="s">
        <v>665</v>
      </c>
      <c r="K1272" s="31">
        <f>C1272*E1272*G1272*I1272</f>
        <v>2.2400000000000002</v>
      </c>
    </row>
    <row r="1273" spans="2:11" x14ac:dyDescent="0.25">
      <c r="B1273" s="34"/>
      <c r="C1273" s="34"/>
      <c r="D1273" s="34"/>
      <c r="E1273" s="34"/>
      <c r="F1273" s="34"/>
      <c r="G1273" s="34"/>
      <c r="H1273" s="35"/>
      <c r="I1273" s="35"/>
      <c r="J1273" s="34"/>
      <c r="K1273" s="31">
        <f>K1267+K1269+K1270+K1272</f>
        <v>63.111300000000007</v>
      </c>
    </row>
    <row r="1275" spans="2:11" x14ac:dyDescent="0.25">
      <c r="B1275" s="12">
        <f>'P. Nova'!B214</f>
        <v>189</v>
      </c>
      <c r="C1275" s="12" t="str">
        <f>'P. Nova'!C214</f>
        <v>11.009.0011-0</v>
      </c>
      <c r="D1275" s="8" t="str">
        <f>'P. Nova'!D214</f>
        <v>FIO DE ACO CA-60,REDONDO,COM SALIENCIA OU MOSSA,COEFICIENTE DE CONFORMACAO SUPERFICIAL MINIMO(ADERENCIA)IGUAL A 1,5,DIAMETRO ENTRE 4,2 A 5MM,DESTINADO A ARMADURA DE PECAS DE CONCRETO ARMADO,COMPREENDENDO 10% DE PERDAS DE PONTAS E ARAME 18.FORNECIMENTO</v>
      </c>
      <c r="E1275" s="12" t="str">
        <f>'P. Nova'!E214</f>
        <v>Kg</v>
      </c>
      <c r="F1275" s="44">
        <f>E1277*F1160</f>
        <v>40.92</v>
      </c>
    </row>
    <row r="1276" spans="2:11" x14ac:dyDescent="0.25">
      <c r="B1276" s="12"/>
      <c r="C1276" s="12"/>
      <c r="D1276" s="8"/>
      <c r="E1276" s="12"/>
      <c r="F1276" s="44"/>
    </row>
    <row r="1277" spans="2:11" x14ac:dyDescent="0.25">
      <c r="D1277" t="s">
        <v>691</v>
      </c>
      <c r="E1277">
        <v>272.8</v>
      </c>
      <c r="F1277" t="s">
        <v>369</v>
      </c>
    </row>
    <row r="1279" spans="2:11" x14ac:dyDescent="0.25">
      <c r="B1279" s="12">
        <f>'P. Nova'!B215</f>
        <v>190</v>
      </c>
      <c r="C1279" s="12" t="str">
        <f>'P. Nova'!C215</f>
        <v>11.011.0027-0</v>
      </c>
      <c r="D1279" s="8" t="str">
        <f>'P. Nova'!D215</f>
        <v>CORTE,DOBRAGEM,MONTAGEM E COLOCACAO DE FERRAGENS NAS FORMAS,ACO CA-60,EM FIO REDONDO,COM DIAMETRO DE 4,2 A 5MM</v>
      </c>
      <c r="E1279" s="12" t="str">
        <f>'P. Nova'!E215</f>
        <v>Kg</v>
      </c>
      <c r="F1279">
        <f>E1281*F1160</f>
        <v>40.92</v>
      </c>
    </row>
    <row r="1280" spans="2:11" x14ac:dyDescent="0.25">
      <c r="B1280" s="12"/>
      <c r="C1280" s="12"/>
      <c r="D1280" s="8"/>
      <c r="E1280" s="12"/>
    </row>
    <row r="1281" spans="2:6" x14ac:dyDescent="0.25">
      <c r="D1281" t="s">
        <v>692</v>
      </c>
      <c r="E1281">
        <f>E1277</f>
        <v>272.8</v>
      </c>
      <c r="F1281" t="s">
        <v>369</v>
      </c>
    </row>
    <row r="1283" spans="2:6" x14ac:dyDescent="0.25">
      <c r="B1283" s="12">
        <f>'P. Nova'!B216</f>
        <v>191</v>
      </c>
      <c r="C1283" s="12" t="str">
        <f>'P. Nova'!C216</f>
        <v>11.009.0013-0</v>
      </c>
      <c r="D1283" s="8" t="str">
        <f>'P. Nova'!D216</f>
        <v>BARRA DE ACO CA-50,COM SALIENCIA OU MOSSA,COEFICIENTE DE CONFORMACAO SUPERFICIAL MINIMO (ADERENCIA) IGUAL A 1,5,DIAMETRODE 6,3MM,DESTINADA A ARMADURA DE CONCRETO ARMADO,10% DE PERDAS DE PONTAS E ARAME 18.FORNECIMENTO</v>
      </c>
      <c r="E1283" s="12" t="str">
        <f>'P. Nova'!E216</f>
        <v>Kg</v>
      </c>
      <c r="F1283" s="44">
        <f>E1285*F1160</f>
        <v>10.5</v>
      </c>
    </row>
    <row r="1285" spans="2:6" x14ac:dyDescent="0.25">
      <c r="D1285" t="s">
        <v>691</v>
      </c>
      <c r="E1285">
        <v>70</v>
      </c>
      <c r="F1285" t="s">
        <v>369</v>
      </c>
    </row>
    <row r="1287" spans="2:6" x14ac:dyDescent="0.25">
      <c r="B1287" s="12">
        <f>'P. Nova'!B217</f>
        <v>192</v>
      </c>
      <c r="C1287" s="12" t="str">
        <f>'P. Nova'!C217</f>
        <v>11.011.0029-0</v>
      </c>
      <c r="D1287" s="8" t="str">
        <f>'P. Nova'!D217</f>
        <v>CORTE,DOBRAGEM,MONTAGEM E COLOCACAO DE FERRAGENS NAS FORMAS,ACO CA-50,EM BARRAS REDONDAS,COM DIAMETRO IGUAL A 6,3MM</v>
      </c>
      <c r="E1287" s="12" t="str">
        <f>'P. Nova'!E217</f>
        <v>Kg</v>
      </c>
      <c r="F1287" s="44">
        <f>E1289*F1160</f>
        <v>10.5</v>
      </c>
    </row>
    <row r="1289" spans="2:6" x14ac:dyDescent="0.25">
      <c r="D1289" t="s">
        <v>693</v>
      </c>
      <c r="E1289">
        <f>E1285</f>
        <v>70</v>
      </c>
      <c r="F1289" t="s">
        <v>369</v>
      </c>
    </row>
    <row r="1291" spans="2:6" x14ac:dyDescent="0.25">
      <c r="B1291" s="12">
        <f>'P. Nova'!B218</f>
        <v>193</v>
      </c>
      <c r="C1291" s="12" t="str">
        <f>'P. Nova'!C218</f>
        <v>11.009.0014-1</v>
      </c>
      <c r="D1291" s="8" t="str">
        <f>'P. Nova'!D218</f>
        <v>BARRA DE ACO CA-50,COM SALIENCIA OU MOSSA,COEFICIENTE DE CONFORMACAO SUPERFICIAL MINIMO (ADERENCIA) IGUAL A 1,5,DIAMETRODE 8 A 12,5MM,DESTINADA A ARMADURA DE CONCRETO ARMADO,10%DE PERDAS DE PONTAS E ARAME 18.FORNECIMENTO</v>
      </c>
      <c r="E1291" s="12" t="str">
        <f>'P. Nova'!E218</f>
        <v>Kg</v>
      </c>
      <c r="F1291" s="44">
        <f>E1293*F1160</f>
        <v>343.95</v>
      </c>
    </row>
    <row r="1293" spans="2:6" x14ac:dyDescent="0.25">
      <c r="D1293" t="s">
        <v>691</v>
      </c>
      <c r="E1293">
        <v>2293</v>
      </c>
      <c r="F1293" t="s">
        <v>369</v>
      </c>
    </row>
    <row r="1295" spans="2:6" x14ac:dyDescent="0.25">
      <c r="B1295" s="12">
        <f>'P. Nova'!B219</f>
        <v>194</v>
      </c>
      <c r="C1295" s="12" t="str">
        <f>'P. Nova'!C219</f>
        <v>11.011.0030-1</v>
      </c>
      <c r="D1295" s="8" t="str">
        <f>'P. Nova'!D219</f>
        <v>CORTE,DOBRAGEM,MONTAGEM E COLOCACAO DE FERRAGENS NAS FORMAS,ACO CA-50,EM BARRAS REDONDAS,COM DIAMETRO DE 8 A 12,5MM</v>
      </c>
      <c r="E1295" s="12" t="str">
        <f>'P. Nova'!E219</f>
        <v>Kg</v>
      </c>
      <c r="F1295" s="44">
        <f>E1297*F1160</f>
        <v>343.95</v>
      </c>
    </row>
    <row r="1297" spans="2:6" x14ac:dyDescent="0.25">
      <c r="D1297" t="s">
        <v>694</v>
      </c>
      <c r="E1297">
        <f>E1293</f>
        <v>2293</v>
      </c>
      <c r="F1297" t="s">
        <v>369</v>
      </c>
    </row>
    <row r="1299" spans="2:6" x14ac:dyDescent="0.25">
      <c r="B1299" s="12">
        <f>'P. Nova'!B220</f>
        <v>195</v>
      </c>
      <c r="C1299" s="12" t="str">
        <f>'P. Nova'!C220</f>
        <v>13.301.0130-1</v>
      </c>
      <c r="D1299" s="8" t="str">
        <f>'P. Nova'!D220</f>
        <v>CONTRAPISO,BASE OU CAMADA REGULARIZADORA,EXECUTADA COM ARGAMASSA DE CIMENTO E AREIA,NO TRACO 1:4,NA ESPESSURA DE 3,5CM</v>
      </c>
      <c r="E1299" s="12" t="str">
        <f>'P. Nova'!E220</f>
        <v>m²</v>
      </c>
      <c r="F1299" s="44">
        <f>E1301*F1160</f>
        <v>138.20430000000002</v>
      </c>
    </row>
    <row r="1301" spans="2:6" x14ac:dyDescent="0.25">
      <c r="D1301" t="s">
        <v>690</v>
      </c>
      <c r="E1301" s="13">
        <f>J1203</f>
        <v>921.36200000000008</v>
      </c>
      <c r="F1301" t="s">
        <v>43</v>
      </c>
    </row>
  </sheetData>
  <mergeCells count="22">
    <mergeCell ref="E251:F251"/>
    <mergeCell ref="B1071:G1071"/>
    <mergeCell ref="B784:G784"/>
    <mergeCell ref="B2:G2"/>
    <mergeCell ref="C734:D734"/>
    <mergeCell ref="C735:D735"/>
    <mergeCell ref="C736:D736"/>
    <mergeCell ref="C737:D737"/>
    <mergeCell ref="C738:D738"/>
    <mergeCell ref="C739:D739"/>
    <mergeCell ref="C740:D740"/>
    <mergeCell ref="C741:D741"/>
    <mergeCell ref="B97:G97"/>
    <mergeCell ref="B234:G234"/>
    <mergeCell ref="B264:G264"/>
    <mergeCell ref="B1158:G1158"/>
    <mergeCell ref="B702:G702"/>
    <mergeCell ref="B512:G512"/>
    <mergeCell ref="B610:G610"/>
    <mergeCell ref="B689:G689"/>
    <mergeCell ref="C742:D742"/>
    <mergeCell ref="B1117:G1117"/>
  </mergeCells>
  <phoneticPr fontId="6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P. Nova</vt:lpstr>
      <vt:lpstr>M. Nova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Guilherme Barros</dc:creator>
  <cp:keywords/>
  <dc:description/>
  <cp:lastModifiedBy>Guilherme Barros</cp:lastModifiedBy>
  <cp:revision/>
  <cp:lastPrinted>2022-10-07T17:37:36Z</cp:lastPrinted>
  <dcterms:created xsi:type="dcterms:W3CDTF">2021-03-17T12:18:17Z</dcterms:created>
  <dcterms:modified xsi:type="dcterms:W3CDTF">2022-10-20T19:57:12Z</dcterms:modified>
  <cp:category/>
  <cp:contentStatus/>
</cp:coreProperties>
</file>